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_nobackup\abgeschlossene Projekte\03_Domares\11_SW-Domares\"/>
    </mc:Choice>
  </mc:AlternateContent>
  <workbookProtection workbookAlgorithmName="SHA-512" workbookHashValue="tvZxgBP8Q5mTXKHgqroeSks1JX4j2eTUqZoq5uSlO7YnC5np7Zwop3w87/ZEUfjvgvz3u+RCPV+WI2QulmKlKg==" workbookSaltValue="O4PZ4p/e6MDuvFPA2SA+dg==" workbookSpinCount="100000" lockStructure="1"/>
  <bookViews>
    <workbookView xWindow="120" yWindow="30" windowWidth="15180" windowHeight="8580" tabRatio="831"/>
  </bookViews>
  <sheets>
    <sheet name="Übersicht" sheetId="1" r:id="rId1"/>
    <sheet name="Ergebnisse" sheetId="2" r:id="rId2"/>
    <sheet name="Gebäude" sheetId="3" r:id="rId3"/>
    <sheet name="Kosten" sheetId="4" r:id="rId4"/>
    <sheet name="Förderungen" sheetId="5" r:id="rId5"/>
    <sheet name="Parameter" sheetId="6" r:id="rId6"/>
    <sheet name="Ortsdaten" sheetId="7" r:id="rId7"/>
    <sheet name="OrtsdatenSammlung" sheetId="8" r:id="rId8"/>
    <sheet name="SolarGewinn" sheetId="9" state="hidden" r:id="rId9"/>
    <sheet name="Verbrauch" sheetId="10" state="hidden" r:id="rId10"/>
    <sheet name="Gewinne" sheetId="11" state="hidden" r:id="rId11"/>
    <sheet name="EKZ_Berechnung" sheetId="12" state="hidden" r:id="rId12"/>
    <sheet name="Referenzdaten" sheetId="13" state="hidden" r:id="rId13"/>
    <sheet name="Berechnungen" sheetId="14" state="hidden" r:id="rId14"/>
  </sheets>
  <definedNames>
    <definedName name="_xlnm.Print_Area" localSheetId="1">Ergebnisse!$A$1:$N$71</definedName>
    <definedName name="_xlnm.Print_Area" localSheetId="4">Förderungen!$A$1:$N$49</definedName>
    <definedName name="_xlnm.Print_Area" localSheetId="2">Gebäude!$A$1:$F$66</definedName>
    <definedName name="_xlnm.Print_Area" localSheetId="3">Kosten!$A$1:$E$81</definedName>
    <definedName name="_xlnm.Print_Area" localSheetId="5">Parameter!$A$1:$G$92</definedName>
    <definedName name="_xlnm.Print_Area" localSheetId="0">Übersicht!$A$1:$L$47</definedName>
    <definedName name="Z_11DD1BF8_C577_48F3_8516_9D608BF5BCA7_.wvu.Cols" localSheetId="1" hidden="1">Ergebnisse!$H:$N</definedName>
    <definedName name="Z_11DD1BF8_C577_48F3_8516_9D608BF5BCA7_.wvu.Cols" localSheetId="2" hidden="1">Gebäude!$O:$S</definedName>
    <definedName name="Z_11DD1BF8_C577_48F3_8516_9D608BF5BCA7_.wvu.Cols" localSheetId="3" hidden="1">Kosten!$F:$J</definedName>
    <definedName name="Z_11DD1BF8_C577_48F3_8516_9D608BF5BCA7_.wvu.Cols" localSheetId="6" hidden="1">Ortsdaten!$F:$J</definedName>
    <definedName name="Z_11DD1BF8_C577_48F3_8516_9D608BF5BCA7_.wvu.Cols" localSheetId="5" hidden="1">Parameter!$J:$O</definedName>
    <definedName name="Z_11DD1BF8_C577_48F3_8516_9D608BF5BCA7_.wvu.Cols" localSheetId="0" hidden="1">Übersicht!$O:$V</definedName>
    <definedName name="Z_11DD1BF8_C577_48F3_8516_9D608BF5BCA7_.wvu.PrintArea" localSheetId="1" hidden="1">Ergebnisse!$A$1:$N$71</definedName>
    <definedName name="Z_11DD1BF8_C577_48F3_8516_9D608BF5BCA7_.wvu.PrintArea" localSheetId="4" hidden="1">Förderungen!$A$1:$N$49</definedName>
    <definedName name="Z_11DD1BF8_C577_48F3_8516_9D608BF5BCA7_.wvu.PrintArea" localSheetId="2" hidden="1">Gebäude!$A$1:$F$66</definedName>
    <definedName name="Z_11DD1BF8_C577_48F3_8516_9D608BF5BCA7_.wvu.PrintArea" localSheetId="3" hidden="1">Kosten!$A$1:$E$81</definedName>
    <definedName name="Z_11DD1BF8_C577_48F3_8516_9D608BF5BCA7_.wvu.PrintArea" localSheetId="5" hidden="1">Parameter!$A$1:$G$92</definedName>
    <definedName name="Z_11DD1BF8_C577_48F3_8516_9D608BF5BCA7_.wvu.PrintArea" localSheetId="0" hidden="1">Übersicht!$A$1:$L$47</definedName>
    <definedName name="Z_11DD1BF8_C577_48F3_8516_9D608BF5BCA7_.wvu.Rows" localSheetId="2" hidden="1">Gebäude!$60:$66</definedName>
    <definedName name="Z_11DD1BF8_C577_48F3_8516_9D608BF5BCA7_.wvu.Rows" localSheetId="5" hidden="1">Parameter!$46:$49</definedName>
    <definedName name="Z_BFD0A862_FF9D_4229_ADD0_2A37AEA5AF1F_.wvu.Cols" localSheetId="2" hidden="1">Gebäude!$O:$S</definedName>
    <definedName name="Z_BFD0A862_FF9D_4229_ADD0_2A37AEA5AF1F_.wvu.Cols" localSheetId="5" hidden="1">Parameter!$J:$O</definedName>
    <definedName name="Z_BFD0A862_FF9D_4229_ADD0_2A37AEA5AF1F_.wvu.PrintArea" localSheetId="1" hidden="1">Ergebnisse!$A$1:$N$71</definedName>
    <definedName name="Z_BFD0A862_FF9D_4229_ADD0_2A37AEA5AF1F_.wvu.PrintArea" localSheetId="4" hidden="1">Förderungen!$A$1:$N$49</definedName>
    <definedName name="Z_BFD0A862_FF9D_4229_ADD0_2A37AEA5AF1F_.wvu.PrintArea" localSheetId="2" hidden="1">Gebäude!$A$1:$F$66</definedName>
    <definedName name="Z_BFD0A862_FF9D_4229_ADD0_2A37AEA5AF1F_.wvu.PrintArea" localSheetId="3" hidden="1">Kosten!$A$1:$E$81</definedName>
    <definedName name="Z_BFD0A862_FF9D_4229_ADD0_2A37AEA5AF1F_.wvu.PrintArea" localSheetId="5" hidden="1">Parameter!$A$1:$G$92</definedName>
    <definedName name="Z_BFD0A862_FF9D_4229_ADD0_2A37AEA5AF1F_.wvu.PrintArea" localSheetId="0" hidden="1">Übersicht!$A$1:$L$47</definedName>
    <definedName name="Z_BFD0A862_FF9D_4229_ADD0_2A37AEA5AF1F_.wvu.Rows" localSheetId="5" hidden="1">Parameter!$46:$49</definedName>
  </definedNames>
  <calcPr calcId="152511"/>
  <customWorkbookViews>
    <customWorkbookView name="Markus - Persönliche Ansicht" guid="{BFD0A862-FF9D-4229-ADD0-2A37AEA5AF1F}" mergeInterval="0" personalView="1" maximized="1" xWindow="12" yWindow="32" windowWidth="1004" windowHeight="538" tabRatio="834" activeSheetId="6" showFormulaBar="0"/>
    <customWorkbookView name=". - Persönliche Ansicht" guid="{11DD1BF8-C577-48F3-8516-9D608BF5BCA7}" mergeInterval="0" personalView="1" maximized="1" xWindow="-8" yWindow="-8" windowWidth="1936" windowHeight="1056" tabRatio="831" activeSheetId="1"/>
  </customWorkbookViews>
</workbook>
</file>

<file path=xl/calcChain.xml><?xml version="1.0" encoding="utf-8"?>
<calcChain xmlns="http://schemas.openxmlformats.org/spreadsheetml/2006/main">
  <c r="C10" i="8" l="1"/>
  <c r="G55" i="4"/>
  <c r="G51" i="4"/>
  <c r="G47" i="4"/>
  <c r="G44" i="4"/>
  <c r="G43" i="4"/>
  <c r="G39" i="4"/>
  <c r="G36" i="4"/>
  <c r="G35" i="4"/>
  <c r="G31" i="4"/>
  <c r="G28" i="4"/>
  <c r="G27" i="4"/>
  <c r="G26" i="4"/>
  <c r="G25" i="4"/>
  <c r="G20" i="4"/>
  <c r="G17" i="4"/>
  <c r="G16" i="4"/>
  <c r="G15" i="4"/>
  <c r="G11" i="4"/>
  <c r="G10" i="4"/>
  <c r="G9" i="4"/>
  <c r="G8" i="4"/>
  <c r="G7" i="4"/>
  <c r="G3" i="4"/>
  <c r="K27" i="14"/>
  <c r="B12" i="5"/>
  <c r="H2" i="7"/>
  <c r="G9" i="7" s="1"/>
  <c r="E20" i="3"/>
  <c r="E17" i="3"/>
  <c r="B44" i="6"/>
  <c r="N10" i="6"/>
  <c r="N9" i="6"/>
  <c r="I32" i="2"/>
  <c r="I28" i="2"/>
  <c r="B42" i="6"/>
  <c r="K13" i="2"/>
  <c r="B41" i="6"/>
  <c r="J13" i="2"/>
  <c r="B40" i="6"/>
  <c r="I13" i="2" s="1"/>
  <c r="E7" i="3"/>
  <c r="D8" i="2"/>
  <c r="E8" i="2"/>
  <c r="C8" i="2"/>
  <c r="B8" i="2"/>
  <c r="B113" i="13"/>
  <c r="B95" i="13"/>
  <c r="B72" i="13"/>
  <c r="B71" i="13"/>
  <c r="B14" i="3"/>
  <c r="B20" i="3"/>
  <c r="B17" i="3"/>
  <c r="C58" i="9"/>
  <c r="C59" i="9"/>
  <c r="C60" i="9"/>
  <c r="C61" i="9"/>
  <c r="C57" i="9"/>
  <c r="C44" i="9"/>
  <c r="E6" i="3"/>
  <c r="E10" i="3"/>
  <c r="E9" i="3"/>
  <c r="E24" i="3"/>
  <c r="B24" i="3"/>
  <c r="B19" i="10"/>
  <c r="B21" i="10" s="1"/>
  <c r="C37" i="9"/>
  <c r="C38" i="9" s="1"/>
  <c r="C42" i="9"/>
  <c r="D44" i="9"/>
  <c r="D37" i="9"/>
  <c r="D38" i="9" s="1"/>
  <c r="D42" i="9"/>
  <c r="E44" i="9"/>
  <c r="E37" i="9"/>
  <c r="E38" i="9"/>
  <c r="E42" i="9"/>
  <c r="B44" i="9"/>
  <c r="B37" i="9"/>
  <c r="B38" i="9" s="1"/>
  <c r="B42" i="9"/>
  <c r="K9" i="6"/>
  <c r="D47" i="6"/>
  <c r="G4" i="1" s="1"/>
  <c r="K10" i="6"/>
  <c r="C23" i="9"/>
  <c r="B61" i="3"/>
  <c r="B62" i="3"/>
  <c r="B66" i="3" s="1"/>
  <c r="C24" i="9"/>
  <c r="L9" i="6"/>
  <c r="L10" i="6"/>
  <c r="D23" i="9"/>
  <c r="D24" i="9"/>
  <c r="M9" i="6"/>
  <c r="D48" i="6"/>
  <c r="K4" i="1" s="1"/>
  <c r="M10" i="6"/>
  <c r="E17" i="2"/>
  <c r="E23" i="9"/>
  <c r="E24" i="9"/>
  <c r="J9" i="6"/>
  <c r="J10" i="6"/>
  <c r="B17" i="2"/>
  <c r="B27" i="9"/>
  <c r="C27" i="9" s="1"/>
  <c r="B23" i="9"/>
  <c r="B24" i="9"/>
  <c r="B43" i="6"/>
  <c r="L13" i="2" s="1"/>
  <c r="U9" i="1"/>
  <c r="F6" i="1" s="1"/>
  <c r="H6" i="1" s="1"/>
  <c r="J6" i="1" s="1"/>
  <c r="L6" i="1" s="1"/>
  <c r="T9" i="1"/>
  <c r="F5" i="1"/>
  <c r="H5" i="1" s="1"/>
  <c r="J5" i="1" s="1"/>
  <c r="L5" i="1" s="1"/>
  <c r="S9" i="1"/>
  <c r="D6" i="1" s="1"/>
  <c r="R9" i="1"/>
  <c r="D5" i="1" s="1"/>
  <c r="B5" i="7"/>
  <c r="B9" i="10" s="1"/>
  <c r="B10" i="7"/>
  <c r="B12" i="7"/>
  <c r="B13" i="7"/>
  <c r="B14" i="7"/>
  <c r="B15" i="7"/>
  <c r="E12" i="5" s="1"/>
  <c r="B16" i="7"/>
  <c r="B4" i="7"/>
  <c r="B2" i="7"/>
  <c r="B1" i="5" s="1"/>
  <c r="F10" i="8"/>
  <c r="I22" i="9"/>
  <c r="A44" i="8"/>
  <c r="G7" i="12"/>
  <c r="A7" i="12"/>
  <c r="G6" i="12"/>
  <c r="A6" i="12" s="1"/>
  <c r="G5" i="12"/>
  <c r="A5" i="12" s="1"/>
  <c r="G4" i="12"/>
  <c r="A4" i="12"/>
  <c r="A5" i="5"/>
  <c r="A6" i="5"/>
  <c r="A7" i="5"/>
  <c r="A4" i="5"/>
  <c r="E8" i="9"/>
  <c r="D8" i="9"/>
  <c r="C8" i="9"/>
  <c r="B8" i="9"/>
  <c r="E18" i="9"/>
  <c r="E15" i="9"/>
  <c r="E16" i="9" s="1"/>
  <c r="E17" i="9" s="1"/>
  <c r="E9" i="9"/>
  <c r="E5" i="9"/>
  <c r="E4" i="9"/>
  <c r="D18" i="9"/>
  <c r="D15" i="9"/>
  <c r="D16" i="9"/>
  <c r="D17" i="9" s="1"/>
  <c r="D9" i="9"/>
  <c r="D5" i="9"/>
  <c r="D4" i="9"/>
  <c r="C18" i="9"/>
  <c r="C15" i="9"/>
  <c r="C16" i="9"/>
  <c r="C17" i="9"/>
  <c r="C9" i="9"/>
  <c r="C5" i="9"/>
  <c r="C4" i="9"/>
  <c r="B9" i="9"/>
  <c r="B5" i="9"/>
  <c r="B18" i="9"/>
  <c r="B4" i="9"/>
  <c r="B15" i="9"/>
  <c r="B16" i="9" s="1"/>
  <c r="B17" i="9" s="1"/>
  <c r="D49" i="6"/>
  <c r="I4" i="1"/>
  <c r="E1" i="2"/>
  <c r="E3" i="5" s="1"/>
  <c r="E77" i="14" s="1"/>
  <c r="D1" i="2"/>
  <c r="D3" i="5" s="1"/>
  <c r="D77" i="14" s="1"/>
  <c r="C1" i="2"/>
  <c r="C3" i="5" s="1"/>
  <c r="C77" i="14" s="1"/>
  <c r="B1" i="2"/>
  <c r="B3" i="5"/>
  <c r="B6" i="14" s="1"/>
  <c r="B66" i="14" s="1"/>
  <c r="I33" i="2"/>
  <c r="E13" i="3"/>
  <c r="I31" i="2"/>
  <c r="I30" i="2"/>
  <c r="I29" i="2"/>
  <c r="D10" i="8"/>
  <c r="B10" i="8"/>
  <c r="E8" i="8"/>
  <c r="B9" i="7"/>
  <c r="E7" i="8"/>
  <c r="E10" i="8" s="1"/>
  <c r="B8" i="7"/>
  <c r="E6" i="8"/>
  <c r="B7" i="7"/>
  <c r="E5" i="8"/>
  <c r="B2" i="11"/>
  <c r="D9" i="12"/>
  <c r="D10" i="12"/>
  <c r="B18" i="3"/>
  <c r="B16" i="10"/>
  <c r="E4" i="1"/>
  <c r="B6" i="7"/>
  <c r="B20" i="11" s="1"/>
  <c r="B7" i="4"/>
  <c r="B38" i="4"/>
  <c r="K21" i="2" s="1"/>
  <c r="D20" i="2" s="1"/>
  <c r="D21" i="5" s="1"/>
  <c r="D79" i="14" s="1"/>
  <c r="D17" i="2"/>
  <c r="C6" i="14"/>
  <c r="C66" i="14" s="1"/>
  <c r="B64" i="3" l="1"/>
  <c r="E6" i="14"/>
  <c r="E66" i="14" s="1"/>
  <c r="L4" i="2"/>
  <c r="E3" i="2" s="1"/>
  <c r="E7" i="2" s="1"/>
  <c r="E15" i="2" s="1"/>
  <c r="C19" i="9"/>
  <c r="C20" i="9" s="1"/>
  <c r="B18" i="11"/>
  <c r="E19" i="9"/>
  <c r="E20" i="9" s="1"/>
  <c r="C29" i="9"/>
  <c r="B5" i="10"/>
  <c r="J4" i="2"/>
  <c r="C3" i="2" s="1"/>
  <c r="C7" i="2" s="1"/>
  <c r="C15" i="2" s="1"/>
  <c r="B28" i="9"/>
  <c r="B3" i="14" s="1"/>
  <c r="B13" i="5" s="1"/>
  <c r="C32" i="9"/>
  <c r="B29" i="9"/>
  <c r="B32" i="9" s="1"/>
  <c r="B77" i="14"/>
  <c r="B31" i="4"/>
  <c r="B30" i="4" s="1"/>
  <c r="J21" i="2" s="1"/>
  <c r="C20" i="2" s="1"/>
  <c r="C21" i="5" s="1"/>
  <c r="C79" i="14" s="1"/>
  <c r="B25" i="4"/>
  <c r="B9" i="4"/>
  <c r="G15" i="7"/>
  <c r="C54" i="4" s="1"/>
  <c r="G6" i="7"/>
  <c r="R5" i="1" s="1"/>
  <c r="B11" i="4"/>
  <c r="B11" i="7"/>
  <c r="B17" i="7"/>
  <c r="B15" i="4"/>
  <c r="B10" i="4"/>
  <c r="B3" i="4"/>
  <c r="E16" i="2" s="1"/>
  <c r="B51" i="4"/>
  <c r="C24" i="2" s="1"/>
  <c r="C6" i="5" s="1"/>
  <c r="G14" i="7"/>
  <c r="C51" i="4" s="1"/>
  <c r="G8" i="7"/>
  <c r="B55" i="4"/>
  <c r="B16" i="4"/>
  <c r="B1" i="1"/>
  <c r="B54" i="4"/>
  <c r="B19" i="9"/>
  <c r="B20" i="9" s="1"/>
  <c r="B6" i="11"/>
  <c r="B15" i="10"/>
  <c r="B8" i="10"/>
  <c r="G4" i="7"/>
  <c r="R3" i="1" s="1"/>
  <c r="G7" i="7"/>
  <c r="C15" i="7" s="1"/>
  <c r="B17" i="4"/>
  <c r="B3" i="10"/>
  <c r="B12" i="11"/>
  <c r="B2" i="10"/>
  <c r="G13" i="7"/>
  <c r="C7" i="4" s="1"/>
  <c r="B27" i="4"/>
  <c r="B28" i="4"/>
  <c r="G12" i="7"/>
  <c r="C40" i="4" s="1"/>
  <c r="B35" i="4"/>
  <c r="B47" i="4"/>
  <c r="B46" i="4" s="1"/>
  <c r="L21" i="2" s="1"/>
  <c r="E20" i="2" s="1"/>
  <c r="E21" i="5" s="1"/>
  <c r="E79" i="14" s="1"/>
  <c r="B10" i="10"/>
  <c r="B20" i="4"/>
  <c r="B19" i="4" s="1"/>
  <c r="M21" i="2" s="1"/>
  <c r="B43" i="4"/>
  <c r="G10" i="7"/>
  <c r="B26" i="4"/>
  <c r="B36" i="4"/>
  <c r="G5" i="7"/>
  <c r="R4" i="1" s="1"/>
  <c r="G11" i="7"/>
  <c r="F15" i="2" s="1"/>
  <c r="B8" i="4"/>
  <c r="B44" i="4"/>
  <c r="B14" i="6"/>
  <c r="D11" i="12"/>
  <c r="B19" i="11"/>
  <c r="B21" i="11" s="1"/>
  <c r="D6" i="14"/>
  <c r="D66" i="14" s="1"/>
  <c r="B18" i="7"/>
  <c r="B65" i="3"/>
  <c r="E16" i="3"/>
  <c r="E12" i="3"/>
  <c r="B4" i="10" s="1"/>
  <c r="C28" i="9"/>
  <c r="D27" i="9"/>
  <c r="C26" i="7"/>
  <c r="D12" i="5"/>
  <c r="C12" i="5"/>
  <c r="N4" i="2"/>
  <c r="M4" i="2"/>
  <c r="I4" i="2"/>
  <c r="B3" i="2" s="1"/>
  <c r="B7" i="2" s="1"/>
  <c r="K4" i="2"/>
  <c r="D3" i="2" s="1"/>
  <c r="D7" i="2" s="1"/>
  <c r="D19" i="9"/>
  <c r="D20" i="9" s="1"/>
  <c r="B7" i="10"/>
  <c r="F20" i="2" l="1"/>
  <c r="F17" i="2"/>
  <c r="B60" i="3"/>
  <c r="E22" i="2" s="1"/>
  <c r="E4" i="5" s="1"/>
  <c r="B33" i="9"/>
  <c r="B9" i="2" s="1"/>
  <c r="E7" i="1"/>
  <c r="B25" i="2" s="1"/>
  <c r="B7" i="5" s="1"/>
  <c r="C37" i="7"/>
  <c r="C24" i="7"/>
  <c r="C27" i="7"/>
  <c r="H4" i="1"/>
  <c r="C13" i="7"/>
  <c r="C23" i="7"/>
  <c r="C31" i="7"/>
  <c r="C3" i="4"/>
  <c r="C39" i="7"/>
  <c r="C17" i="7"/>
  <c r="C32" i="7"/>
  <c r="C36" i="7"/>
  <c r="F4" i="1"/>
  <c r="L4" i="1"/>
  <c r="B26" i="11"/>
  <c r="C25" i="4"/>
  <c r="C29" i="7"/>
  <c r="C35" i="7"/>
  <c r="C30" i="4"/>
  <c r="C28" i="7"/>
  <c r="D24" i="2"/>
  <c r="D6" i="5" s="1"/>
  <c r="E24" i="2"/>
  <c r="E6" i="5" s="1"/>
  <c r="J18" i="2"/>
  <c r="C17" i="2" s="1"/>
  <c r="C16" i="2"/>
  <c r="D16" i="2"/>
  <c r="B16" i="2"/>
  <c r="F18" i="5"/>
  <c r="B14" i="4"/>
  <c r="M24" i="2" s="1"/>
  <c r="C10" i="4"/>
  <c r="C24" i="4"/>
  <c r="B24" i="4"/>
  <c r="J24" i="2" s="1"/>
  <c r="C23" i="2" s="1"/>
  <c r="C5" i="5" s="1"/>
  <c r="B24" i="2"/>
  <c r="B6" i="5" s="1"/>
  <c r="B34" i="4"/>
  <c r="K24" i="2" s="1"/>
  <c r="D23" i="2" s="1"/>
  <c r="D5" i="5" s="1"/>
  <c r="C16" i="7"/>
  <c r="C14" i="7"/>
  <c r="C21" i="7"/>
  <c r="C25" i="7"/>
  <c r="C34" i="7"/>
  <c r="C30" i="7"/>
  <c r="R6" i="1"/>
  <c r="C38" i="7"/>
  <c r="C19" i="7"/>
  <c r="C33" i="7"/>
  <c r="C40" i="7"/>
  <c r="C18" i="7"/>
  <c r="C22" i="7"/>
  <c r="J4" i="1"/>
  <c r="C20" i="7"/>
  <c r="B42" i="4"/>
  <c r="L24" i="2" s="1"/>
  <c r="E23" i="2" s="1"/>
  <c r="E5" i="5" s="1"/>
  <c r="C39" i="4"/>
  <c r="C45" i="4"/>
  <c r="B12" i="10"/>
  <c r="N3" i="2" s="1"/>
  <c r="I21" i="2"/>
  <c r="B20" i="2" s="1"/>
  <c r="B21" i="5" s="1"/>
  <c r="B79" i="14" s="1"/>
  <c r="F20" i="5"/>
  <c r="F18" i="2"/>
  <c r="F22" i="5"/>
  <c r="F14" i="2"/>
  <c r="C55" i="4"/>
  <c r="F16" i="2"/>
  <c r="F21" i="5"/>
  <c r="C44" i="4"/>
  <c r="F24" i="2"/>
  <c r="C5" i="4"/>
  <c r="C16" i="4"/>
  <c r="F22" i="2"/>
  <c r="C17" i="4"/>
  <c r="F15" i="5"/>
  <c r="C46" i="4"/>
  <c r="C43" i="4"/>
  <c r="F4" i="5"/>
  <c r="F12" i="5"/>
  <c r="C28" i="4"/>
  <c r="C15" i="4"/>
  <c r="C21" i="4"/>
  <c r="C9" i="4"/>
  <c r="C8" i="4"/>
  <c r="C11" i="4"/>
  <c r="F26" i="2"/>
  <c r="F6" i="5"/>
  <c r="C6" i="4"/>
  <c r="C29" i="4"/>
  <c r="F23" i="2"/>
  <c r="C47" i="4"/>
  <c r="F5" i="5"/>
  <c r="C20" i="4"/>
  <c r="C34" i="4"/>
  <c r="F13" i="5"/>
  <c r="C27" i="4"/>
  <c r="F25" i="2"/>
  <c r="C12" i="4"/>
  <c r="C19" i="4"/>
  <c r="F11" i="5"/>
  <c r="C48" i="4"/>
  <c r="C32" i="4"/>
  <c r="C31" i="4"/>
  <c r="C36" i="4"/>
  <c r="C42" i="4"/>
  <c r="F10" i="5"/>
  <c r="F7" i="5"/>
  <c r="C18" i="4"/>
  <c r="C26" i="4"/>
  <c r="C14" i="4"/>
  <c r="C35" i="4"/>
  <c r="C37" i="4"/>
  <c r="C38" i="4"/>
  <c r="D15" i="2"/>
  <c r="B19" i="7"/>
  <c r="D28" i="9"/>
  <c r="E27" i="9"/>
  <c r="D29" i="9"/>
  <c r="D32" i="9" s="1"/>
  <c r="C3" i="14"/>
  <c r="C13" i="5" s="1"/>
  <c r="G7" i="1"/>
  <c r="C25" i="2" s="1"/>
  <c r="C7" i="5" s="1"/>
  <c r="B15" i="2"/>
  <c r="C33" i="9"/>
  <c r="C22" i="2"/>
  <c r="C4" i="5" s="1"/>
  <c r="B4" i="14" l="1"/>
  <c r="B38" i="14" s="1"/>
  <c r="D22" i="2"/>
  <c r="D4" i="5" s="1"/>
  <c r="B22" i="2"/>
  <c r="B4" i="5" s="1"/>
  <c r="B25" i="11"/>
  <c r="B39" i="14"/>
  <c r="B41" i="14"/>
  <c r="B13" i="6"/>
  <c r="B6" i="4" s="1"/>
  <c r="B5" i="4" s="1"/>
  <c r="I24" i="2" s="1"/>
  <c r="B23" i="2" s="1"/>
  <c r="B5" i="5" s="1"/>
  <c r="J3" i="2"/>
  <c r="C2" i="2" s="1"/>
  <c r="L3" i="2"/>
  <c r="E2" i="2" s="1"/>
  <c r="K3" i="2"/>
  <c r="D2" i="2" s="1"/>
  <c r="M3" i="2"/>
  <c r="I3" i="2"/>
  <c r="B2" i="2" s="1"/>
  <c r="B25" i="10"/>
  <c r="B39" i="9" s="1"/>
  <c r="B40" i="9" s="1"/>
  <c r="B43" i="9" s="1"/>
  <c r="B45" i="9" s="1"/>
  <c r="C8" i="5"/>
  <c r="C15" i="5"/>
  <c r="D33" i="9"/>
  <c r="E29" i="9"/>
  <c r="E32" i="9" s="1"/>
  <c r="E28" i="9"/>
  <c r="C9" i="2"/>
  <c r="C4" i="14"/>
  <c r="B20" i="7"/>
  <c r="B42" i="14" s="1"/>
  <c r="I7" i="1"/>
  <c r="D25" i="2" s="1"/>
  <c r="D7" i="5" s="1"/>
  <c r="D3" i="14"/>
  <c r="D13" i="5" s="1"/>
  <c r="B40" i="14" l="1"/>
  <c r="B8" i="5"/>
  <c r="B15" i="5" s="1"/>
  <c r="B17" i="5" s="1"/>
  <c r="B18" i="5" s="1"/>
  <c r="B22" i="5" s="1"/>
  <c r="B80" i="14" s="1"/>
  <c r="D8" i="5"/>
  <c r="E33" i="9"/>
  <c r="E4" i="14" s="1"/>
  <c r="D39" i="9"/>
  <c r="D40" i="9" s="1"/>
  <c r="D43" i="9" s="1"/>
  <c r="D45" i="9" s="1"/>
  <c r="D4" i="2" s="1"/>
  <c r="D6" i="2" s="1"/>
  <c r="B2" i="12"/>
  <c r="I5" i="12" s="1"/>
  <c r="B5" i="12" s="1"/>
  <c r="D5" i="12" s="1"/>
  <c r="C39" i="9"/>
  <c r="C40" i="9" s="1"/>
  <c r="C43" i="9" s="1"/>
  <c r="C45" i="9" s="1"/>
  <c r="C47" i="9" s="1"/>
  <c r="E39" i="9"/>
  <c r="E40" i="9" s="1"/>
  <c r="E43" i="9" s="1"/>
  <c r="E45" i="9" s="1"/>
  <c r="E47" i="9" s="1"/>
  <c r="D15" i="5"/>
  <c r="C17" i="5"/>
  <c r="C18" i="5" s="1"/>
  <c r="C22" i="5" s="1"/>
  <c r="B21" i="7"/>
  <c r="B43" i="14" s="1"/>
  <c r="C40" i="14"/>
  <c r="C42" i="14"/>
  <c r="C41" i="14"/>
  <c r="C38" i="14"/>
  <c r="C39" i="14"/>
  <c r="D4" i="14"/>
  <c r="D9" i="2"/>
  <c r="K7" i="1"/>
  <c r="E25" i="2" s="1"/>
  <c r="E7" i="5" s="1"/>
  <c r="E3" i="14"/>
  <c r="E13" i="5" s="1"/>
  <c r="B4" i="2"/>
  <c r="B6" i="2" s="1"/>
  <c r="B47" i="9"/>
  <c r="D2" i="12" l="1"/>
  <c r="B26" i="2"/>
  <c r="K5" i="12"/>
  <c r="B7" i="12" s="1"/>
  <c r="D7" i="12" s="1"/>
  <c r="E9" i="2"/>
  <c r="E4" i="2"/>
  <c r="E6" i="2" s="1"/>
  <c r="E12" i="2" s="1"/>
  <c r="C4" i="2"/>
  <c r="C6" i="2" s="1"/>
  <c r="C12" i="2" s="1"/>
  <c r="H5" i="12"/>
  <c r="B4" i="12" s="1"/>
  <c r="D4" i="12" s="1"/>
  <c r="D47" i="9"/>
  <c r="J5" i="12"/>
  <c r="B6" i="12" s="1"/>
  <c r="D6" i="12" s="1"/>
  <c r="C26" i="2"/>
  <c r="C80" i="14"/>
  <c r="E42" i="14"/>
  <c r="E40" i="14"/>
  <c r="E39" i="14"/>
  <c r="E41" i="14"/>
  <c r="E43" i="14"/>
  <c r="E38" i="14"/>
  <c r="D41" i="14"/>
  <c r="D43" i="14"/>
  <c r="D38" i="14"/>
  <c r="D39" i="14"/>
  <c r="D40" i="14"/>
  <c r="D42" i="14"/>
  <c r="B22" i="7"/>
  <c r="E44" i="14" s="1"/>
  <c r="B14" i="2"/>
  <c r="B18" i="2" s="1"/>
  <c r="B20" i="5" s="1"/>
  <c r="B12" i="2"/>
  <c r="B10" i="2"/>
  <c r="C43" i="14"/>
  <c r="D17" i="5"/>
  <c r="D18" i="5" s="1"/>
  <c r="D22" i="5" s="1"/>
  <c r="D12" i="2"/>
  <c r="D14" i="2"/>
  <c r="D18" i="2" s="1"/>
  <c r="D20" i="5" s="1"/>
  <c r="D10" i="2"/>
  <c r="E15" i="5"/>
  <c r="E8" i="5"/>
  <c r="L5" i="12" l="1"/>
  <c r="E10" i="2"/>
  <c r="E14" i="2"/>
  <c r="E18" i="2" s="1"/>
  <c r="E20" i="5" s="1"/>
  <c r="E78" i="14" s="1"/>
  <c r="C10" i="2"/>
  <c r="C14" i="2"/>
  <c r="C18" i="2" s="1"/>
  <c r="C20" i="5" s="1"/>
  <c r="C10" i="14" s="1"/>
  <c r="D80" i="14"/>
  <c r="D26" i="2"/>
  <c r="B8" i="14"/>
  <c r="B11" i="14"/>
  <c r="B9" i="14"/>
  <c r="B12" i="14"/>
  <c r="B7" i="14"/>
  <c r="B78" i="14"/>
  <c r="B10" i="14"/>
  <c r="D7" i="14"/>
  <c r="D78" i="14"/>
  <c r="D8" i="14"/>
  <c r="D12" i="14"/>
  <c r="D11" i="14"/>
  <c r="D9" i="14"/>
  <c r="D10" i="14"/>
  <c r="B44" i="14"/>
  <c r="B13" i="14" s="1"/>
  <c r="C44" i="14"/>
  <c r="D44" i="14"/>
  <c r="D13" i="14" s="1"/>
  <c r="B23" i="7"/>
  <c r="E17" i="5"/>
  <c r="E18" i="5" s="1"/>
  <c r="E22" i="5" s="1"/>
  <c r="C9" i="14" l="1"/>
  <c r="C11" i="14"/>
  <c r="C8" i="14"/>
  <c r="C12" i="14"/>
  <c r="C13" i="14"/>
  <c r="C7" i="14"/>
  <c r="C78" i="14"/>
  <c r="E13" i="14"/>
  <c r="E8" i="14"/>
  <c r="E9" i="14"/>
  <c r="E7" i="14"/>
  <c r="E26" i="2"/>
  <c r="E80" i="14"/>
  <c r="E12" i="14"/>
  <c r="E11" i="14"/>
  <c r="B45" i="14"/>
  <c r="B14" i="14" s="1"/>
  <c r="C45" i="14"/>
  <c r="C14" i="14" s="1"/>
  <c r="D45" i="14"/>
  <c r="D14" i="14" s="1"/>
  <c r="E45" i="14"/>
  <c r="B24" i="7"/>
  <c r="E10" i="14"/>
  <c r="E14" i="14" l="1"/>
  <c r="B46" i="14"/>
  <c r="C46" i="14"/>
  <c r="C15" i="14" s="1"/>
  <c r="E46" i="14"/>
  <c r="E15" i="14" s="1"/>
  <c r="D46" i="14"/>
  <c r="B25" i="7"/>
  <c r="D15" i="14" l="1"/>
  <c r="B15" i="14"/>
  <c r="B47" i="14"/>
  <c r="B16" i="14" s="1"/>
  <c r="C47" i="14"/>
  <c r="C16" i="14" s="1"/>
  <c r="D47" i="14"/>
  <c r="D16" i="14" s="1"/>
  <c r="E47" i="14"/>
  <c r="B26" i="7"/>
  <c r="B27" i="7" l="1"/>
  <c r="B48" i="14"/>
  <c r="B17" i="14" s="1"/>
  <c r="C48" i="14"/>
  <c r="C17" i="14" s="1"/>
  <c r="D48" i="14"/>
  <c r="E48" i="14"/>
  <c r="E17" i="14" s="1"/>
  <c r="E16" i="14"/>
  <c r="B28" i="7" l="1"/>
  <c r="D17" i="14"/>
  <c r="B49" i="14"/>
  <c r="B18" i="14" s="1"/>
  <c r="C49" i="14"/>
  <c r="C18" i="14" s="1"/>
  <c r="E49" i="14"/>
  <c r="E18" i="14" s="1"/>
  <c r="D49" i="14"/>
  <c r="D18" i="14" s="1"/>
  <c r="B29" i="7" l="1"/>
  <c r="B50" i="14"/>
  <c r="B19" i="14" s="1"/>
  <c r="C50" i="14"/>
  <c r="C19" i="14" s="1"/>
  <c r="E50" i="14"/>
  <c r="E19" i="14" s="1"/>
  <c r="D50" i="14"/>
  <c r="D19" i="14" s="1"/>
  <c r="B30" i="7" l="1"/>
  <c r="B51" i="14"/>
  <c r="B20" i="14" s="1"/>
  <c r="C51" i="14"/>
  <c r="C20" i="14" s="1"/>
  <c r="E51" i="14"/>
  <c r="E20" i="14" s="1"/>
  <c r="D51" i="14"/>
  <c r="D20" i="14" s="1"/>
  <c r="B31" i="7" l="1"/>
  <c r="B52" i="14"/>
  <c r="B21" i="14" s="1"/>
  <c r="C52" i="14"/>
  <c r="C21" i="14" s="1"/>
  <c r="D52" i="14"/>
  <c r="D21" i="14" s="1"/>
  <c r="E52" i="14"/>
  <c r="E21" i="14" s="1"/>
  <c r="B53" i="14" l="1"/>
  <c r="B22" i="14" s="1"/>
  <c r="C53" i="14"/>
  <c r="C22" i="14" s="1"/>
  <c r="E53" i="14"/>
  <c r="E22" i="14" s="1"/>
  <c r="D53" i="14"/>
  <c r="D22" i="14" s="1"/>
  <c r="B32" i="7"/>
  <c r="B54" i="14" l="1"/>
  <c r="B23" i="14" s="1"/>
  <c r="C54" i="14"/>
  <c r="C23" i="14" s="1"/>
  <c r="E54" i="14"/>
  <c r="E23" i="14" s="1"/>
  <c r="D54" i="14"/>
  <c r="D23" i="14" s="1"/>
  <c r="B33" i="7"/>
  <c r="B55" i="14" l="1"/>
  <c r="B24" i="14" s="1"/>
  <c r="C55" i="14"/>
  <c r="C24" i="14" s="1"/>
  <c r="E55" i="14"/>
  <c r="E24" i="14" s="1"/>
  <c r="D55" i="14"/>
  <c r="D24" i="14" s="1"/>
  <c r="B34" i="7"/>
  <c r="B56" i="14" l="1"/>
  <c r="B25" i="14" s="1"/>
  <c r="C56" i="14"/>
  <c r="C25" i="14" s="1"/>
  <c r="E56" i="14"/>
  <c r="E25" i="14" s="1"/>
  <c r="D56" i="14"/>
  <c r="D25" i="14" s="1"/>
  <c r="B35" i="7"/>
  <c r="B57" i="14" l="1"/>
  <c r="B26" i="14" s="1"/>
  <c r="C57" i="14"/>
  <c r="C26" i="14" s="1"/>
  <c r="E57" i="14"/>
  <c r="E26" i="14" s="1"/>
  <c r="D57" i="14"/>
  <c r="D26" i="14" s="1"/>
  <c r="B36" i="7"/>
  <c r="B58" i="14" l="1"/>
  <c r="B27" i="14" s="1"/>
  <c r="C58" i="14"/>
  <c r="C27" i="14" s="1"/>
  <c r="E58" i="14"/>
  <c r="E27" i="14" s="1"/>
  <c r="D58" i="14"/>
  <c r="D27" i="14" s="1"/>
  <c r="B37" i="7"/>
  <c r="B59" i="14" l="1"/>
  <c r="B28" i="14" s="1"/>
  <c r="C59" i="14"/>
  <c r="C28" i="14" s="1"/>
  <c r="D59" i="14"/>
  <c r="D28" i="14" s="1"/>
  <c r="E59" i="14"/>
  <c r="E28" i="14" s="1"/>
  <c r="B38" i="7"/>
  <c r="B60" i="14" l="1"/>
  <c r="B29" i="14" s="1"/>
  <c r="C60" i="14"/>
  <c r="C29" i="14" s="1"/>
  <c r="E60" i="14"/>
  <c r="E29" i="14" s="1"/>
  <c r="D60" i="14"/>
  <c r="D29" i="14" s="1"/>
  <c r="B40" i="7"/>
  <c r="B39" i="7"/>
  <c r="B62" i="14" l="1"/>
  <c r="C62" i="14"/>
  <c r="D62" i="14"/>
  <c r="E62" i="14"/>
  <c r="B61" i="14"/>
  <c r="B30" i="14" s="1"/>
  <c r="C61" i="14"/>
  <c r="C30" i="14" s="1"/>
  <c r="D61" i="14"/>
  <c r="D30" i="14" s="1"/>
  <c r="E61" i="14"/>
  <c r="E30" i="14" s="1"/>
  <c r="B31" i="14" l="1"/>
  <c r="B32" i="14" s="1"/>
  <c r="B63" i="14"/>
  <c r="B64" i="14"/>
  <c r="E31" i="14"/>
  <c r="E32" i="14" s="1"/>
  <c r="E63" i="14"/>
  <c r="D31" i="14"/>
  <c r="D32" i="14" s="1"/>
  <c r="D63" i="14"/>
  <c r="C31" i="14"/>
  <c r="C32" i="14" s="1"/>
  <c r="C63" i="14"/>
  <c r="D81" i="14" l="1"/>
  <c r="D82" i="14" s="1"/>
  <c r="D67" i="14"/>
  <c r="D68" i="14"/>
  <c r="D72" i="14"/>
  <c r="D70" i="14"/>
  <c r="D71" i="14"/>
  <c r="D69" i="14"/>
  <c r="D73" i="14"/>
  <c r="E81" i="14"/>
  <c r="E82" i="14" s="1"/>
  <c r="E68" i="14"/>
  <c r="E69" i="14"/>
  <c r="E70" i="14"/>
  <c r="E72" i="14"/>
  <c r="E73" i="14"/>
  <c r="E71" i="14"/>
  <c r="E67" i="14"/>
  <c r="B81" i="14"/>
  <c r="B82" i="14" s="1"/>
  <c r="B71" i="14"/>
  <c r="B70" i="14"/>
  <c r="B68" i="14"/>
  <c r="B73" i="14"/>
  <c r="B67" i="14"/>
  <c r="B69" i="14"/>
  <c r="B72" i="14"/>
  <c r="C81" i="14"/>
  <c r="C82" i="14" s="1"/>
  <c r="C73" i="14"/>
  <c r="C67" i="14"/>
  <c r="C70" i="14"/>
  <c r="C69" i="14"/>
  <c r="C68" i="14"/>
  <c r="C71" i="14"/>
  <c r="C72" i="14"/>
  <c r="J68" i="14" l="1"/>
  <c r="I68" i="14"/>
  <c r="H68" i="14"/>
  <c r="G68" i="14"/>
</calcChain>
</file>

<file path=xl/comments1.xml><?xml version="1.0" encoding="utf-8"?>
<comments xmlns="http://schemas.openxmlformats.org/spreadsheetml/2006/main">
  <authors>
    <author>Markus</author>
    <author>.</author>
  </authors>
  <commentList>
    <comment ref="A6" authorId="0" shapeId="0">
      <text>
        <r>
          <rPr>
            <sz val="8"/>
            <color indexed="81"/>
            <rFont val="Tahoma"/>
            <family val="2"/>
          </rPr>
          <t>Energiebezugsfläche</t>
        </r>
      </text>
    </comment>
    <comment ref="D8" authorId="1" shapeId="0">
      <text>
        <r>
          <rPr>
            <sz val="10"/>
            <color indexed="81"/>
            <rFont val="Tahoma"/>
            <family val="2"/>
          </rPr>
          <t>Kollektorfläche der Solarthermieanlage, eingebunden als Kombianlage zur Heizungsunterstützung und Warmwassererwärmung, bzw. Vorwärmung</t>
        </r>
      </text>
    </comment>
    <comment ref="A12" authorId="0" shapeId="0">
      <text>
        <r>
          <rPr>
            <sz val="8"/>
            <color indexed="81"/>
            <rFont val="Tahoma"/>
            <family val="2"/>
          </rPr>
          <t xml:space="preserve">   0° = Süden
 45° = Südost
 90° = Osten
-45° = Südwest
-90° =Westen</t>
        </r>
      </text>
    </comment>
  </commentList>
</comments>
</file>

<file path=xl/comments2.xml><?xml version="1.0" encoding="utf-8"?>
<comments xmlns="http://schemas.openxmlformats.org/spreadsheetml/2006/main">
  <authors>
    <author>Markus</author>
    <author>.</author>
  </authors>
  <commentList>
    <comment ref="A7" authorId="0" shapeId="0">
      <text>
        <r>
          <rPr>
            <sz val="8"/>
            <color indexed="81"/>
            <rFont val="Tahoma"/>
            <family val="2"/>
          </rPr>
          <t>Energiebezugsfläche</t>
        </r>
      </text>
    </comment>
    <comment ref="A12" authorId="0" shapeId="0">
      <text>
        <r>
          <rPr>
            <sz val="8"/>
            <color indexed="81"/>
            <rFont val="Tahoma"/>
            <family val="2"/>
          </rPr>
          <t xml:space="preserve">   0° = Süden
 45° = Südost
 90° = Osten
-45° = Südwest
-90° =Westen</t>
        </r>
      </text>
    </comment>
    <comment ref="A23" authorId="1" shapeId="0">
      <text>
        <r>
          <rPr>
            <sz val="10"/>
            <color indexed="81"/>
            <rFont val="Tahoma"/>
            <family val="2"/>
          </rPr>
          <t>Kollektorfläche der Solarthermieanlage, eingebunden als Kombianlage zur Heizungsunterstützung und Warmwassererwärmung, bzw. Vorwärmung</t>
        </r>
      </text>
    </comment>
  </commentList>
</comments>
</file>

<file path=xl/sharedStrings.xml><?xml version="1.0" encoding="utf-8"?>
<sst xmlns="http://schemas.openxmlformats.org/spreadsheetml/2006/main" count="949" uniqueCount="510">
  <si>
    <t>EBF</t>
  </si>
  <si>
    <r>
      <t>m</t>
    </r>
    <r>
      <rPr>
        <vertAlign val="superscript"/>
        <sz val="10"/>
        <rFont val="Arial"/>
        <family val="2"/>
      </rPr>
      <t>2</t>
    </r>
  </si>
  <si>
    <t>°C</t>
  </si>
  <si>
    <t>Bauteile gegen Aussenklima</t>
  </si>
  <si>
    <t>U-Werte Wand</t>
  </si>
  <si>
    <r>
      <t>W /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K</t>
    </r>
  </si>
  <si>
    <t>Fläche Wand</t>
  </si>
  <si>
    <t>U-Werte Dach</t>
  </si>
  <si>
    <t>Fläche Dach</t>
  </si>
  <si>
    <t>U-Werte Fenster</t>
  </si>
  <si>
    <t>Fläche Fenster</t>
  </si>
  <si>
    <t>g-Werte Fenster</t>
  </si>
  <si>
    <t>U-Werte Türe</t>
  </si>
  <si>
    <t>Fläche Türe</t>
  </si>
  <si>
    <t>Bauteile gegen unbeheizte Räume und Erdreich</t>
  </si>
  <si>
    <t>U-Werte Boden</t>
  </si>
  <si>
    <t>Fläche Boden</t>
  </si>
  <si>
    <t>Transmissionsverluste</t>
  </si>
  <si>
    <t>Q_Wand</t>
  </si>
  <si>
    <t>Q_Dach</t>
  </si>
  <si>
    <t>Q_Fenster</t>
  </si>
  <si>
    <t>Q_Türe</t>
  </si>
  <si>
    <t>Q_Wandu</t>
  </si>
  <si>
    <t>Q_Bodenu</t>
  </si>
  <si>
    <t>Q_Fensteru</t>
  </si>
  <si>
    <t>Q_Türeu</t>
  </si>
  <si>
    <t>Q_sum</t>
  </si>
  <si>
    <r>
      <t>MJ /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</si>
  <si>
    <r>
      <t>MJ /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a</t>
    </r>
  </si>
  <si>
    <t>Lüftungsverluste</t>
  </si>
  <si>
    <t>E_Lueft</t>
  </si>
  <si>
    <t>h-1</t>
  </si>
  <si>
    <t>n</t>
  </si>
  <si>
    <t>Raumhöhe</t>
  </si>
  <si>
    <t>m</t>
  </si>
  <si>
    <t>eta_WRG</t>
  </si>
  <si>
    <t>Q_Verltot</t>
  </si>
  <si>
    <t>Wärmegewinne durch Personen</t>
  </si>
  <si>
    <t>Pers</t>
  </si>
  <si>
    <t>Q_WW</t>
  </si>
  <si>
    <t>E_Pers</t>
  </si>
  <si>
    <t>W</t>
  </si>
  <si>
    <t>Nutzungszeit</t>
  </si>
  <si>
    <t>h</t>
  </si>
  <si>
    <t>P_Pers</t>
  </si>
  <si>
    <t>Wärmegewinne durch Elektrizität</t>
  </si>
  <si>
    <t>E_El1</t>
  </si>
  <si>
    <t>Red.Faktor</t>
  </si>
  <si>
    <t>E_Elek</t>
  </si>
  <si>
    <t>E_Sol</t>
  </si>
  <si>
    <t>Glasanteil</t>
  </si>
  <si>
    <t>Wärmepumpe</t>
  </si>
  <si>
    <t>Fr</t>
  </si>
  <si>
    <t>Verbindungsleitung</t>
  </si>
  <si>
    <t>Pellets</t>
  </si>
  <si>
    <t>Investition</t>
  </si>
  <si>
    <t>Bohrlänge</t>
  </si>
  <si>
    <t>Bohrlänge WW</t>
  </si>
  <si>
    <t>Stromkosten</t>
  </si>
  <si>
    <t>HGT 20/12</t>
  </si>
  <si>
    <t>HT 20</t>
  </si>
  <si>
    <t>GS</t>
  </si>
  <si>
    <t>GE</t>
  </si>
  <si>
    <t>GW</t>
  </si>
  <si>
    <t>GN</t>
  </si>
  <si>
    <t>T</t>
  </si>
  <si>
    <t>el_Lueft</t>
  </si>
  <si>
    <t>Jahre</t>
  </si>
  <si>
    <t>Photovoltaik</t>
  </si>
  <si>
    <t>SF</t>
  </si>
  <si>
    <t>Energiepreis</t>
  </si>
  <si>
    <t>Amortisationdauer</t>
  </si>
  <si>
    <t>Kapitalzins</t>
  </si>
  <si>
    <t>Erdgas</t>
  </si>
  <si>
    <t>Erdöl</t>
  </si>
  <si>
    <t>Solarthermie Heizungsunterstützung</t>
  </si>
  <si>
    <t>Anzahl Personen</t>
  </si>
  <si>
    <t>Wasserverbrauch</t>
  </si>
  <si>
    <t>Wärmepumpe Wartung</t>
  </si>
  <si>
    <t>Pellets Investition</t>
  </si>
  <si>
    <t>Pelletsbrenner</t>
  </si>
  <si>
    <t>Nachladung</t>
  </si>
  <si>
    <t>600l-Speicher</t>
  </si>
  <si>
    <t>Pellets Wartung</t>
  </si>
  <si>
    <t>Erdgas Wartung</t>
  </si>
  <si>
    <t>Erdöl Wartung</t>
  </si>
  <si>
    <t>Kamienfeger</t>
  </si>
  <si>
    <t>Erdgas Investitionen</t>
  </si>
  <si>
    <t>Gasthermie</t>
  </si>
  <si>
    <t>Erdöl Investitionen</t>
  </si>
  <si>
    <t>Bohrkosten gesamt</t>
  </si>
  <si>
    <t>Bohrungskosten/Meter</t>
  </si>
  <si>
    <t>Brenner</t>
  </si>
  <si>
    <t>...</t>
  </si>
  <si>
    <t>Fr / m</t>
  </si>
  <si>
    <t>Quelle</t>
  </si>
  <si>
    <t>Heiztage bez. auf 20°C</t>
  </si>
  <si>
    <t>min. Aussentemperatur</t>
  </si>
  <si>
    <r>
      <t>Fr / m</t>
    </r>
    <r>
      <rPr>
        <vertAlign val="superscript"/>
        <sz val="10"/>
        <rFont val="Arial"/>
        <family val="2"/>
      </rPr>
      <t>2</t>
    </r>
  </si>
  <si>
    <t>Kollektorkosten/Fläche</t>
  </si>
  <si>
    <t>Kosten pro kWpeak</t>
  </si>
  <si>
    <t>Fr / kWpeak</t>
  </si>
  <si>
    <t>Kostenanteil Wechselrichter</t>
  </si>
  <si>
    <t>Fr / a</t>
  </si>
  <si>
    <t>Anteil ges.Inv.</t>
  </si>
  <si>
    <t>PV-Fibel von LKW</t>
  </si>
  <si>
    <t>Gmean</t>
  </si>
  <si>
    <t>Mittelwert der Globalstrahlung</t>
  </si>
  <si>
    <t>Globalstrahlung Süd</t>
  </si>
  <si>
    <t>Globalstrahlung Ost</t>
  </si>
  <si>
    <t>Globalstrahlung West</t>
  </si>
  <si>
    <t>Globalstrahlung Nord</t>
  </si>
  <si>
    <t>Heiztage bez. auf 20°C RT und 12° Aussen</t>
  </si>
  <si>
    <t>Warmwasserverbrauch</t>
  </si>
  <si>
    <t>druch. Wassereingangstemp.</t>
  </si>
  <si>
    <t>Warmwassertemperatur</t>
  </si>
  <si>
    <t>Energiebedarf WW</t>
  </si>
  <si>
    <t>kWh / a</t>
  </si>
  <si>
    <t>Stromverbrauch Lüfter</t>
  </si>
  <si>
    <t>Verluste Heizung und Warmwasser</t>
  </si>
  <si>
    <t>Wärmegewinne durch solare Einstrahlung (Gebäude)</t>
  </si>
  <si>
    <t>kWh / kWpeak</t>
  </si>
  <si>
    <t>Jahresertrag PV</t>
  </si>
  <si>
    <t>Energiegewinn Heizung</t>
  </si>
  <si>
    <t>Fr / kWh</t>
  </si>
  <si>
    <t>Berechnung der Betriebskosten</t>
  </si>
  <si>
    <t>Pelletsheizung</t>
  </si>
  <si>
    <t>Wirkungsgrad Brenner</t>
  </si>
  <si>
    <t>Leistung Nachladung</t>
  </si>
  <si>
    <t>kW / a</t>
  </si>
  <si>
    <t>Betr.std Nachladung</t>
  </si>
  <si>
    <t>h / a</t>
  </si>
  <si>
    <t>Wirkungsgrad Therme</t>
  </si>
  <si>
    <t>Energiekosten WW</t>
  </si>
  <si>
    <t>Energiekosten Heizen+Lüften</t>
  </si>
  <si>
    <t>Stromkosten Lüftung</t>
  </si>
  <si>
    <t>Stromkosten Nachladung</t>
  </si>
  <si>
    <t>Pelletheizung</t>
  </si>
  <si>
    <t>Investition Wärmesystem</t>
  </si>
  <si>
    <t>Investition Solarthermie</t>
  </si>
  <si>
    <t>Modulwirkungsgrad</t>
  </si>
  <si>
    <t>Personenzahl berechnet nach SIA aus EBF</t>
  </si>
  <si>
    <t>Mittelwert von diversen Planungsbüros</t>
  </si>
  <si>
    <t>Hoval-Preiskatalog</t>
  </si>
  <si>
    <t>FAWA-Feldanalysen</t>
  </si>
  <si>
    <t>Reduktionsfaktor Beschattung und Verschmutzung nach SIA 380-1 (freie Lage = 0.8, geschützte Lage = 0.6)</t>
  </si>
  <si>
    <t>Strom</t>
  </si>
  <si>
    <t>WP-Strompauschale</t>
  </si>
  <si>
    <t>kg/kWh</t>
  </si>
  <si>
    <t>Kennzahlen</t>
  </si>
  <si>
    <r>
      <t>MJ /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</t>
    </r>
  </si>
  <si>
    <r>
      <t>kWh /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</t>
    </r>
  </si>
  <si>
    <t>Rauminnentemperatur</t>
  </si>
  <si>
    <t>kWpeak</t>
  </si>
  <si>
    <r>
      <t>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pro TJ</t>
    </r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</si>
  <si>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pro kWh</t>
    </r>
  </si>
  <si>
    <t>Umrechnung</t>
  </si>
  <si>
    <t>Errechnet aus dem Leistungsbedarf für Heizen und Warmwasser</t>
  </si>
  <si>
    <t>Region</t>
  </si>
  <si>
    <t>Spaltenwahl</t>
  </si>
  <si>
    <t>Investition PV</t>
  </si>
  <si>
    <t>Unterhalt</t>
  </si>
  <si>
    <t>Ortsabhängige Werte</t>
  </si>
  <si>
    <t>PV-Förderung pro kWpeak</t>
  </si>
  <si>
    <t>max. PV-Förderungsgrenze</t>
  </si>
  <si>
    <t>ST-Förderung</t>
  </si>
  <si>
    <t>Auswahlliste Heizsystem</t>
  </si>
  <si>
    <t>Anzahl Stockwerke</t>
  </si>
  <si>
    <t>E_Sol_Süden</t>
  </si>
  <si>
    <t>E_Sol_Norden</t>
  </si>
  <si>
    <t>E_Sol_Osten-Westen</t>
  </si>
  <si>
    <t>Variante 1</t>
  </si>
  <si>
    <t>Variante 2</t>
  </si>
  <si>
    <t>Variante 3</t>
  </si>
  <si>
    <t>Variante 4</t>
  </si>
  <si>
    <t>Planer</t>
  </si>
  <si>
    <t>…</t>
  </si>
  <si>
    <t>Kosten Gebäudehülle</t>
  </si>
  <si>
    <t>Wandisolation</t>
  </si>
  <si>
    <t>Fenster</t>
  </si>
  <si>
    <t>Fassade</t>
  </si>
  <si>
    <t>Fr.</t>
  </si>
  <si>
    <t>Decke / Boden</t>
  </si>
  <si>
    <t>Investition Gebäudehülle</t>
  </si>
  <si>
    <t>Fr. / 100 l</t>
  </si>
  <si>
    <t>Fr. / t</t>
  </si>
  <si>
    <t>Fr. / kWh</t>
  </si>
  <si>
    <t>keine</t>
  </si>
  <si>
    <t>l pro Person pro Tag</t>
  </si>
  <si>
    <t>Heizsystem</t>
  </si>
  <si>
    <t>Variantenr</t>
  </si>
  <si>
    <t>Auswahlnr.</t>
  </si>
  <si>
    <t>Auswahltext</t>
  </si>
  <si>
    <t>Anlagenleistung</t>
  </si>
  <si>
    <t>Modulfläche</t>
  </si>
  <si>
    <t>Anlagengrösse</t>
  </si>
  <si>
    <t>Grad</t>
  </si>
  <si>
    <t>Umrechnung Energiegehalt</t>
  </si>
  <si>
    <t>kWh/t</t>
  </si>
  <si>
    <t>tonne/kWh</t>
  </si>
  <si>
    <t>kWh/100l</t>
  </si>
  <si>
    <t>100l/kWh</t>
  </si>
  <si>
    <t>kWh/m3</t>
  </si>
  <si>
    <t>m3/kWh</t>
  </si>
  <si>
    <t>Fr. / m3 Gas</t>
  </si>
  <si>
    <t>Modulhöhe</t>
  </si>
  <si>
    <t>Modulbreite</t>
  </si>
  <si>
    <t>Yield</t>
  </si>
  <si>
    <t>Modulabstand</t>
  </si>
  <si>
    <t>min. Einfallwinkel</t>
  </si>
  <si>
    <t>90 Grad minus geo.Breite und Deklination</t>
  </si>
  <si>
    <t>Reihenabstand der Module</t>
  </si>
  <si>
    <t>Inst. Leistung (kWpeak)</t>
  </si>
  <si>
    <t>Flachdach</t>
  </si>
  <si>
    <t>Schrägdach</t>
  </si>
  <si>
    <t>Neigung</t>
  </si>
  <si>
    <t>kWh/kWpeak pro Jahr</t>
  </si>
  <si>
    <t>Yield Anlage</t>
  </si>
  <si>
    <t>Jahresertrag</t>
  </si>
  <si>
    <t>Modulneigung Flachdach</t>
  </si>
  <si>
    <t>Anzahl Reihen</t>
  </si>
  <si>
    <t>Anz.Module/Reihe</t>
  </si>
  <si>
    <t>Selektierter Wert</t>
  </si>
  <si>
    <t>Solarthermie</t>
  </si>
  <si>
    <t>Variante</t>
  </si>
  <si>
    <t>m2</t>
  </si>
  <si>
    <t>berechnet aus Verbrauch</t>
  </si>
  <si>
    <t>Gesamtverbrauch Geb.</t>
  </si>
  <si>
    <t>Kollektorfl.</t>
  </si>
  <si>
    <t>max Kollektorertrag</t>
  </si>
  <si>
    <t>Ertrag aus max.KE</t>
  </si>
  <si>
    <t>Ertrag SF</t>
  </si>
  <si>
    <t>Ertrag ST</t>
  </si>
  <si>
    <t>max. Kollektorertrag kWh/m2.a (wird verwendet wenn Ergebnis aus SF zu hoch wird)</t>
  </si>
  <si>
    <t>kWh/Jahr</t>
  </si>
  <si>
    <t>Solargewinn (Solarthermie)</t>
  </si>
  <si>
    <t>Förderung Photovoltaik</t>
  </si>
  <si>
    <t>PV-Erlös</t>
  </si>
  <si>
    <t>Förderung Gebäudehülle</t>
  </si>
  <si>
    <t>Förderung Wärmesystem</t>
  </si>
  <si>
    <t>Förderung Solarthermie</t>
  </si>
  <si>
    <t>3 Jahr Einspeisetarif</t>
  </si>
  <si>
    <t>1 Jahr Einspeisetarif</t>
  </si>
  <si>
    <t>2 Jahr Einspeisetarif</t>
  </si>
  <si>
    <t>4 Jahr Einspeisetarif</t>
  </si>
  <si>
    <t>5 Jahr Einspeisetarif</t>
  </si>
  <si>
    <t>6 Jahr Einspeisetarif</t>
  </si>
  <si>
    <t>7 Jahr Einspeisetarif</t>
  </si>
  <si>
    <t>8 Jahr Einspeisetarif</t>
  </si>
  <si>
    <t>9 Jahr Einspeisetarif</t>
  </si>
  <si>
    <t>10 Jahr Einspeisetarif</t>
  </si>
  <si>
    <t>11 Jahr Einspeisetarif</t>
  </si>
  <si>
    <t>12 Jahr Einspeisetarif</t>
  </si>
  <si>
    <t>13 Jahr Einspeisetarif</t>
  </si>
  <si>
    <t>14 Jahr Einspeisetarif</t>
  </si>
  <si>
    <t>15 Jahr Einspeisetarif</t>
  </si>
  <si>
    <t>16 Jahr Einspeisetarif</t>
  </si>
  <si>
    <t>17 Jahr Einspeisetarif</t>
  </si>
  <si>
    <t>18 Jahr Einspeisetarif</t>
  </si>
  <si>
    <t>19 Jahr Einspeisetarif</t>
  </si>
  <si>
    <t>20 Jahr Einspeisetarif</t>
  </si>
  <si>
    <t>Jahreskosten</t>
  </si>
  <si>
    <t>Energiepreisentwicklung</t>
  </si>
  <si>
    <t>Ges.Energiebedarf</t>
  </si>
  <si>
    <t>kWh pro Jahr</t>
  </si>
  <si>
    <t>tot. Investition</t>
  </si>
  <si>
    <t>Investition abzgl. Förderung</t>
  </si>
  <si>
    <t>Amortisation Invest</t>
  </si>
  <si>
    <t>gew.Ort</t>
  </si>
  <si>
    <t>Domares</t>
  </si>
  <si>
    <t>Energiebedarf Heizen</t>
  </si>
  <si>
    <t>Transmissionsverluste Gebäudehülle und Lüftungsverluste</t>
  </si>
  <si>
    <t>Energiebedarf Brauchwarmwasser</t>
  </si>
  <si>
    <t>Tatsächlicher Primärenergiebedarf unter Berücksichtigung JAZ oder Wirkungsgrad</t>
  </si>
  <si>
    <t>Stromkosten und Kosten für Investition, Wartung, Montage, Installation inkl. 7.6% MwSt</t>
  </si>
  <si>
    <t>EKZ Gebäude</t>
  </si>
  <si>
    <t>kWh / m2 a</t>
  </si>
  <si>
    <t>Strombedarf Lüftung</t>
  </si>
  <si>
    <t>Ertrag Photovoltaik</t>
  </si>
  <si>
    <t>Wartungskosten</t>
  </si>
  <si>
    <t>jährliche Amortisationskosten</t>
  </si>
  <si>
    <t xml:space="preserve">Energiekosten </t>
  </si>
  <si>
    <t>Wartung</t>
  </si>
  <si>
    <t>Energie</t>
  </si>
  <si>
    <t>PV-Ertrag</t>
  </si>
  <si>
    <t>Minergie</t>
  </si>
  <si>
    <t>Minergie-P</t>
  </si>
  <si>
    <t>Passivhaus</t>
  </si>
  <si>
    <t>NTB</t>
  </si>
  <si>
    <t>INTERSTAATLICHE HOCHSCHULE</t>
  </si>
  <si>
    <t>FÜR TECHNIK BUCHS</t>
  </si>
  <si>
    <t>Institut für Energiesysteme</t>
  </si>
  <si>
    <t>Werdenbergstrasse 4</t>
  </si>
  <si>
    <t>9471 Buchs</t>
  </si>
  <si>
    <t>www.ntb.ch/ies</t>
  </si>
  <si>
    <t>Autoren</t>
  </si>
  <si>
    <t>Michael Eschmann</t>
  </si>
  <si>
    <t>Markus Markstaler</t>
  </si>
  <si>
    <t>michael.eschmann@ntb.ch</t>
  </si>
  <si>
    <t>markus.markstaler@ntb.ch</t>
  </si>
  <si>
    <t>tat.Prim.energiebedarf Heizen</t>
  </si>
  <si>
    <t>tat.Prim.energiebedarf WW</t>
  </si>
  <si>
    <t>gew.EKZ WP</t>
  </si>
  <si>
    <t>gew.EKZ Gas</t>
  </si>
  <si>
    <t>gew.EKZ Öl</t>
  </si>
  <si>
    <t>gew.EKZ Pellets</t>
  </si>
  <si>
    <t>Region Buchs</t>
  </si>
  <si>
    <t>Region Chur</t>
  </si>
  <si>
    <t>Region St.Gallen</t>
  </si>
  <si>
    <t>Liechtenstein</t>
  </si>
  <si>
    <t>jährl. Primärenergiekosten</t>
  </si>
  <si>
    <t>System (Kollektor, Speicher, Pumpen,..) mit Installation und MwSt.</t>
  </si>
  <si>
    <t>Passivhaus liegt bei 15kWh / m2 a für Heizwärmebedarf, deshalb wurde hier der tatsächliche WW-Bedarf hinzugezählt</t>
  </si>
  <si>
    <t>Auswahlliste</t>
  </si>
  <si>
    <t>Koll.Fl.Ertag</t>
  </si>
  <si>
    <t>Einmalförderung PV*)</t>
  </si>
  <si>
    <t>*) PV-Förderung in Form von Einspeisevergütung können im Register "Ortsdaten" erfasst werden</t>
  </si>
  <si>
    <t>Ennergiekennzahl Elektrizität nach SIA 380-1 für EFH</t>
  </si>
  <si>
    <t>Heiztage (HT) bez. auf 20°C</t>
  </si>
  <si>
    <t>Heizgradtage (HGT) bez. auf 20°C RT und 12° Aussen</t>
  </si>
  <si>
    <t>Reduktion Steuerlast (in %)</t>
  </si>
  <si>
    <t>Reduktion Steuerlast (in CHF)</t>
  </si>
  <si>
    <t>Aufbau Photovoltaik</t>
  </si>
  <si>
    <t>Ausrichtung Solar</t>
  </si>
  <si>
    <t>Neigung ST-Kollektor</t>
  </si>
  <si>
    <t>ST-Kollektorfläche</t>
  </si>
  <si>
    <t>PV-Anlagenleistung</t>
  </si>
  <si>
    <t>Parameter 1a</t>
  </si>
  <si>
    <t>Parameter 2a</t>
  </si>
  <si>
    <t>Parameter 1b</t>
  </si>
  <si>
    <t>Parameter 2b</t>
  </si>
  <si>
    <r>
      <t>Parameter CO</t>
    </r>
    <r>
      <rPr>
        <b/>
        <vertAlign val="subscript"/>
        <sz val="10"/>
        <rFont val="Arial"/>
        <family val="2"/>
      </rPr>
      <t xml:space="preserve">2 </t>
    </r>
  </si>
  <si>
    <t>CO2-Werte</t>
  </si>
  <si>
    <t>CO2-Ausstoss (Tonnen)</t>
  </si>
  <si>
    <t>Tonnen / a</t>
  </si>
  <si>
    <t>Gültiger Wertebereich zwischen 4 und 30m2 ansonst -5</t>
  </si>
  <si>
    <t>gewählter Ertrag (aus SF oder max.Koll.ertrag)</t>
  </si>
  <si>
    <t>U-Werte Fenster Osten und Westen</t>
  </si>
  <si>
    <t>U-Werte Fenster Norden</t>
  </si>
  <si>
    <t>U-Werte Fenster Süden</t>
  </si>
  <si>
    <r>
      <t>Fr. / m</t>
    </r>
    <r>
      <rPr>
        <vertAlign val="superscript"/>
        <sz val="10"/>
        <color indexed="12"/>
        <rFont val="Arial"/>
        <family val="2"/>
      </rPr>
      <t>2</t>
    </r>
  </si>
  <si>
    <t>Ermöglicht durch</t>
  </si>
  <si>
    <t>Land Liechtenstein</t>
  </si>
  <si>
    <t>Förderverein IES (www.fv-ies.ch)</t>
  </si>
  <si>
    <t>und</t>
  </si>
  <si>
    <t>21 Jahr Einspeisetarif</t>
  </si>
  <si>
    <t>22 Jahr Einspeisetarif</t>
  </si>
  <si>
    <t>23 Jahr Einspeisetarif</t>
  </si>
  <si>
    <t>24 Jahr Einspeisetarif</t>
  </si>
  <si>
    <t>25 Jahr Einspeisetarif</t>
  </si>
  <si>
    <t>Gesamtausgaben</t>
  </si>
  <si>
    <t>Gesamterlös</t>
  </si>
  <si>
    <t>Mittelwert 25 J</t>
  </si>
  <si>
    <t>Kollektorfläche</t>
  </si>
  <si>
    <t>SIA380-1 (EFH, MFH) = 0.7</t>
  </si>
  <si>
    <t>mittlere Wärmeabgabe pro Person nach SIA 380-1 (EFH, MFH)</t>
  </si>
  <si>
    <t>SIA380-1 (EFH, MFH) = 12</t>
  </si>
  <si>
    <t>Luftwechselrate (min. 0.3)</t>
  </si>
  <si>
    <t>Azi/Neigung berücksichtigt</t>
  </si>
  <si>
    <t>Strompreis</t>
  </si>
  <si>
    <t>Fr. / m3</t>
  </si>
  <si>
    <t>Fr. / 100l</t>
  </si>
  <si>
    <t>Modulfläche WP</t>
  </si>
  <si>
    <t>Modulfläche Pellets</t>
  </si>
  <si>
    <t>Modulfläche Erdgas</t>
  </si>
  <si>
    <t>Modulfläche Erdöl</t>
  </si>
  <si>
    <t>Neigung PV (alle)</t>
  </si>
  <si>
    <t>Neigung ST-Kollektor (alle)</t>
  </si>
  <si>
    <t>°</t>
  </si>
  <si>
    <t>ST-Kollektorfläche WP</t>
  </si>
  <si>
    <t>ST-Kollektorfläche Pellets</t>
  </si>
  <si>
    <t>ST-Kollektorfläche Erdgas</t>
  </si>
  <si>
    <t>ST-Kollektorfläche Erdöl</t>
  </si>
  <si>
    <t>Parameter</t>
  </si>
  <si>
    <t>Wert</t>
  </si>
  <si>
    <t>Einheit</t>
  </si>
  <si>
    <t>Register</t>
  </si>
  <si>
    <t>Übersicht</t>
  </si>
  <si>
    <t>U-Werte Wand_unbeheizt</t>
  </si>
  <si>
    <t>Fläche Wand_unbeheizt</t>
  </si>
  <si>
    <t>U-Werte Boden_unbeheizt</t>
  </si>
  <si>
    <t>U-Werte Fenster_unbeheizt</t>
  </si>
  <si>
    <t>g-Werte Fenster_unbeheizt</t>
  </si>
  <si>
    <t>Fläche Fenster_unbeheizt</t>
  </si>
  <si>
    <t>U-Werte Türe_unbeheizt</t>
  </si>
  <si>
    <t>Fläche Türe_unbeheizt</t>
  </si>
  <si>
    <t>U-Werte Wand_aussen</t>
  </si>
  <si>
    <t>U-Werte Dach_aussen</t>
  </si>
  <si>
    <t>U-Werte Fenster Norden_aussen</t>
  </si>
  <si>
    <t>Fläche Fenster Nord_aussen</t>
  </si>
  <si>
    <t>Fläche Fenster Ost/West_aussen</t>
  </si>
  <si>
    <t>U-Werte Fenster Nord/Süden/Ost/West_aussen</t>
  </si>
  <si>
    <t>g-Werte Fenster_aussen</t>
  </si>
  <si>
    <t>Fläche Fenster Süd_aussen</t>
  </si>
  <si>
    <t>U-Werte Türe_aussen</t>
  </si>
  <si>
    <t>Fläche Türe_aussen</t>
  </si>
  <si>
    <t>Gebäude</t>
  </si>
  <si>
    <t>Kamienfeger Pellets</t>
  </si>
  <si>
    <t>Wartung Gas</t>
  </si>
  <si>
    <t>600l-Speicher Gas</t>
  </si>
  <si>
    <t>Kamienfeger Erdöl</t>
  </si>
  <si>
    <t>Kosten</t>
  </si>
  <si>
    <t>Förderung Solarthermie_alle Varianten</t>
  </si>
  <si>
    <t>Einmalförderung PV_alle Varianten</t>
  </si>
  <si>
    <t>Reduktion Steuerlast (in %)_alle Varianten</t>
  </si>
  <si>
    <t>Reduktion Steuerlast (in CHF)_alle Varianten</t>
  </si>
  <si>
    <t>Förderungen</t>
  </si>
  <si>
    <t>JAZ für Heizen_WP</t>
  </si>
  <si>
    <t>JAZ für Warmwasser_WP</t>
  </si>
  <si>
    <t>Wirkungsgrad Erdöl-Brenner</t>
  </si>
  <si>
    <t>PV-Modulwirkungsgrad</t>
  </si>
  <si>
    <t>Strom_CO2</t>
  </si>
  <si>
    <t>Pellets_CO2</t>
  </si>
  <si>
    <t>Erdgas_CO2</t>
  </si>
  <si>
    <t>Erdöl_CO2</t>
  </si>
  <si>
    <t>Betr.std Nachladung_Pellets</t>
  </si>
  <si>
    <t>Modulhöhe_PV</t>
  </si>
  <si>
    <t>Modulbreite_PV</t>
  </si>
  <si>
    <t>min. Einfallwinkel (Breitengrad)</t>
  </si>
  <si>
    <t>0.7+0.3*COS(Azimut)*COS((Neigung-35)*2))</t>
  </si>
  <si>
    <t>0.024*Kollektorfläche+0.12</t>
  </si>
  <si>
    <t>SF_Berechnung</t>
  </si>
  <si>
    <t>Yield_ST_Azi/Neigung berücksichtigt</t>
  </si>
  <si>
    <t>Yield_PV_Azi/Neigung berücksichtigt</t>
  </si>
  <si>
    <t>0.7+0.3*COS(Azimut)*COS((Neigung-60)*2))</t>
  </si>
  <si>
    <t>SolarGewinn</t>
  </si>
  <si>
    <t>kWh/m2</t>
  </si>
  <si>
    <t>Red.Faktor bei Gewinne durch Elektrizität</t>
  </si>
  <si>
    <t>W / m2K</t>
  </si>
  <si>
    <t>Leistung pro Pers (P_Pers)</t>
  </si>
  <si>
    <t>Red.Faktor (Solare Einstrahlung Gebäude)</t>
  </si>
  <si>
    <t>Glasanteil (bez. auf solare Einstrahlung Gebäude)</t>
  </si>
  <si>
    <t>Gewinne</t>
  </si>
  <si>
    <t>HGT 20/12_Buchs</t>
  </si>
  <si>
    <t>HT 20_Buchs</t>
  </si>
  <si>
    <t>GS_Buchs</t>
  </si>
  <si>
    <t>GE_Buchs</t>
  </si>
  <si>
    <t>GW_Buchs</t>
  </si>
  <si>
    <t>GN_Buchs</t>
  </si>
  <si>
    <t>T_Buchs</t>
  </si>
  <si>
    <t>Gmean_Buchs</t>
  </si>
  <si>
    <t>Jahresertrag PV_Buchs</t>
  </si>
  <si>
    <t>PV-Förderung pro kWpeak_Buchs</t>
  </si>
  <si>
    <t>max. PV-Förderungsgrenze_Buchs</t>
  </si>
  <si>
    <t>ST-Förderung_Buchs</t>
  </si>
  <si>
    <t>0.6-8% 1/1.06 Red pro Jahr</t>
  </si>
  <si>
    <t>Ortsddaten</t>
  </si>
  <si>
    <t>PV-Einspeisevergütung</t>
  </si>
  <si>
    <t>Decken/Boden/Wände: bis 0.14 gut / 0.15 bis 0.20 mittel / über 0.21 schlecht</t>
  </si>
  <si>
    <t>Lüftung</t>
  </si>
  <si>
    <t>Wirkungsgrad Wärmetauscher</t>
  </si>
  <si>
    <t>Fenster:                      bis 0.70 gut / 0.80 bis 1.00 mittel / über 1.10 schlecht</t>
  </si>
  <si>
    <t>E_gewinn_real</t>
  </si>
  <si>
    <t>E_gewinn_theo</t>
  </si>
  <si>
    <t>Luftwechselrate n</t>
  </si>
  <si>
    <t>Gebäudeumfang</t>
  </si>
  <si>
    <t>JAZ für Heizen (Erdsonde)</t>
  </si>
  <si>
    <t>JAZ für Warmwasser (Erdsonde)</t>
  </si>
  <si>
    <t>JAZ für Heizen (Luft)</t>
  </si>
  <si>
    <t>JAZ für Warmwasser (Luft)</t>
  </si>
  <si>
    <t>Ersonde-Wärmepumpe Investition</t>
  </si>
  <si>
    <t>Luft-Wärmepumpe Investition</t>
  </si>
  <si>
    <t>Strommix CH</t>
  </si>
  <si>
    <t>Erdsonde-WP</t>
  </si>
  <si>
    <t>Luft-WP</t>
  </si>
  <si>
    <t>Weitere Parameter für Berechnung</t>
  </si>
  <si>
    <t>SIA Doppelhaus</t>
  </si>
  <si>
    <t>Energiebedarfsrechnung eines Gebäudes</t>
  </si>
  <si>
    <t>Gesamt</t>
  </si>
  <si>
    <t>Ortsdaten</t>
  </si>
  <si>
    <t>kWh / kWpeak Jahresertrag PV</t>
  </si>
  <si>
    <t>siehe PVGIS (über google)</t>
  </si>
  <si>
    <t>Währung</t>
  </si>
  <si>
    <t>Vorarlberg</t>
  </si>
  <si>
    <t>EUR</t>
  </si>
  <si>
    <t>Währungsänderung</t>
  </si>
  <si>
    <t>VorgabeCH/Li</t>
  </si>
  <si>
    <t>VorgabeEU</t>
  </si>
  <si>
    <t>EUR/kWh</t>
  </si>
  <si>
    <t>Selektiert Wert</t>
  </si>
  <si>
    <t>EUR/t</t>
  </si>
  <si>
    <t>EUR/100l</t>
  </si>
  <si>
    <t>EUR/m3 Gas</t>
  </si>
  <si>
    <t>Kosten pro Jahr [Fr. / a]</t>
  </si>
  <si>
    <t>y-Achsentitel Übersicht</t>
  </si>
  <si>
    <t>Auswirkung auf die jährlichen Wärmekosten [Fr. / a]</t>
  </si>
  <si>
    <t>jährliche Wärmekosten [Fr. / a]</t>
  </si>
  <si>
    <t>Kosten pro Jahr [EUR/a]</t>
  </si>
  <si>
    <t>Auswirkung auf die jährlichen Wärmekosten [EUR/a]</t>
  </si>
  <si>
    <t>jährliche Wärmekosten [EUR/a]</t>
  </si>
  <si>
    <t>y-Achsentitel Ergenisse</t>
  </si>
  <si>
    <t>Fr. / a</t>
  </si>
  <si>
    <t>EUR/a</t>
  </si>
  <si>
    <t>Wo eingesetzt?</t>
  </si>
  <si>
    <t>Sektion Energiepreis bei Übersicht</t>
  </si>
  <si>
    <t>bei Kosten</t>
  </si>
  <si>
    <t>Fr. / m</t>
  </si>
  <si>
    <t>Fr. / m2</t>
  </si>
  <si>
    <t>Fr. / kWpeak</t>
  </si>
  <si>
    <t>EUR/m</t>
  </si>
  <si>
    <t>EUR/m2</t>
  </si>
  <si>
    <t>EUR/kWpeak</t>
  </si>
  <si>
    <t>Globalstrahlung Süd (ca. 43%)</t>
  </si>
  <si>
    <t>Globalstrahlung Ost (ca. 23%)</t>
  </si>
  <si>
    <t>Globalstrahlung West (ca. 23%)</t>
  </si>
  <si>
    <t>Globalstrahlung Nord (ca. 11%)</t>
  </si>
  <si>
    <t>siehe PVGIS (über google) oder www.hev-schweiz.ch</t>
  </si>
  <si>
    <t>Referenzdaten (als Sicherung, wird nicht verwendet)</t>
  </si>
  <si>
    <t>Orginal Daten bis V1.02</t>
  </si>
  <si>
    <t>Domares Version 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</si>
</sst>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00"/>
    <numFmt numFmtId="165" formatCode="0.0"/>
    <numFmt numFmtId="166" formatCode="#,##0_ ;[Red]\-#,##0\ "/>
    <numFmt numFmtId="167" formatCode="0.00000"/>
    <numFmt numFmtId="168" formatCode="_ * #,##0_ ;_ * \-#,##0_ ;_ * &quot;-&quot;??_ ;_ @_ "/>
    <numFmt numFmtId="169" formatCode="#,##0_ ;\-#,##0\ "/>
  </numFmts>
  <fonts count="3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i/>
      <sz val="11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8"/>
      <color indexed="6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1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vertAlign val="superscript"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49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i/>
      <sz val="10"/>
      <color theme="4" tint="-0.249977111117893"/>
      <name val="Arial"/>
      <family val="2"/>
    </font>
    <font>
      <i/>
      <sz val="8"/>
      <color theme="5" tint="-0.249977111117893"/>
      <name val="Arial"/>
      <family val="2"/>
    </font>
    <font>
      <b/>
      <i/>
      <sz val="10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5" fillId="0" borderId="0"/>
  </cellStyleXfs>
  <cellXfs count="241">
    <xf numFmtId="0" fontId="0" fillId="0" borderId="0" xfId="0"/>
    <xf numFmtId="0" fontId="0" fillId="2" borderId="0" xfId="0" applyFill="1"/>
    <xf numFmtId="0" fontId="0" fillId="3" borderId="0" xfId="0" applyFill="1"/>
    <xf numFmtId="0" fontId="5" fillId="3" borderId="0" xfId="0" applyFont="1" applyFill="1"/>
    <xf numFmtId="0" fontId="1" fillId="3" borderId="0" xfId="0" applyFont="1" applyFill="1"/>
    <xf numFmtId="1" fontId="0" fillId="3" borderId="0" xfId="0" applyNumberFormat="1" applyFill="1"/>
    <xf numFmtId="164" fontId="0" fillId="3" borderId="0" xfId="0" applyNumberFormat="1" applyFill="1"/>
    <xf numFmtId="165" fontId="1" fillId="3" borderId="0" xfId="0" applyNumberFormat="1" applyFont="1" applyFill="1"/>
    <xf numFmtId="165" fontId="0" fillId="3" borderId="0" xfId="0" applyNumberFormat="1" applyFill="1"/>
    <xf numFmtId="0" fontId="2" fillId="3" borderId="0" xfId="0" applyFont="1" applyFill="1"/>
    <xf numFmtId="2" fontId="2" fillId="3" borderId="0" xfId="0" applyNumberFormat="1" applyFont="1" applyFill="1"/>
    <xf numFmtId="0" fontId="0" fillId="4" borderId="0" xfId="0" applyFill="1"/>
    <xf numFmtId="1" fontId="1" fillId="3" borderId="0" xfId="0" applyNumberFormat="1" applyFont="1" applyFill="1"/>
    <xf numFmtId="0" fontId="0" fillId="3" borderId="0" xfId="0" applyFill="1" applyBorder="1"/>
    <xf numFmtId="0" fontId="2" fillId="3" borderId="0" xfId="0" applyFont="1" applyFill="1" applyAlignment="1">
      <alignment wrapText="1"/>
    </xf>
    <xf numFmtId="2" fontId="2" fillId="3" borderId="0" xfId="0" applyNumberFormat="1" applyFont="1" applyFill="1" applyAlignment="1">
      <alignment wrapText="1"/>
    </xf>
    <xf numFmtId="0" fontId="2" fillId="3" borderId="0" xfId="0" applyFont="1" applyFill="1" applyBorder="1" applyAlignment="1">
      <alignment wrapText="1"/>
    </xf>
    <xf numFmtId="1" fontId="0" fillId="2" borderId="0" xfId="0" applyNumberFormat="1" applyFill="1"/>
    <xf numFmtId="2" fontId="0" fillId="2" borderId="0" xfId="0" applyNumberFormat="1" applyFill="1"/>
    <xf numFmtId="9" fontId="0" fillId="3" borderId="0" xfId="3" applyFont="1" applyFill="1"/>
    <xf numFmtId="0" fontId="19" fillId="5" borderId="0" xfId="0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18" fillId="5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left" indent="1"/>
    </xf>
    <xf numFmtId="0" fontId="0" fillId="5" borderId="0" xfId="0" applyFill="1"/>
    <xf numFmtId="0" fontId="5" fillId="5" borderId="0" xfId="0" applyFont="1" applyFill="1" applyAlignment="1">
      <alignment horizontal="left"/>
    </xf>
    <xf numFmtId="165" fontId="5" fillId="5" borderId="0" xfId="0" applyNumberFormat="1" applyFont="1" applyFill="1" applyAlignment="1">
      <alignment horizontal="center"/>
    </xf>
    <xf numFmtId="165" fontId="5" fillId="5" borderId="0" xfId="0" applyNumberFormat="1" applyFont="1" applyFill="1"/>
    <xf numFmtId="0" fontId="17" fillId="5" borderId="0" xfId="0" applyFont="1" applyFill="1"/>
    <xf numFmtId="0" fontId="1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165" fontId="17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1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165" fontId="16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 wrapText="1"/>
    </xf>
    <xf numFmtId="0" fontId="5" fillId="5" borderId="0" xfId="0" applyFont="1" applyFill="1" applyAlignment="1">
      <alignment horizontal="center" wrapText="1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16" fillId="5" borderId="0" xfId="0" applyFont="1" applyFill="1"/>
    <xf numFmtId="165" fontId="17" fillId="5" borderId="0" xfId="0" applyNumberFormat="1" applyFont="1" applyFill="1"/>
    <xf numFmtId="0" fontId="17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35" fillId="5" borderId="0" xfId="2" applyFill="1" applyAlignment="1" applyProtection="1">
      <alignment horizontal="center"/>
    </xf>
    <xf numFmtId="0" fontId="35" fillId="5" borderId="0" xfId="2" applyFill="1" applyAlignment="1" applyProtection="1"/>
    <xf numFmtId="0" fontId="11" fillId="5" borderId="0" xfId="0" applyFont="1" applyFill="1"/>
    <xf numFmtId="2" fontId="0" fillId="5" borderId="0" xfId="0" applyNumberFormat="1" applyFill="1" applyProtection="1">
      <protection locked="0"/>
    </xf>
    <xf numFmtId="0" fontId="2" fillId="5" borderId="0" xfId="0" applyFont="1" applyFill="1"/>
    <xf numFmtId="2" fontId="17" fillId="5" borderId="0" xfId="0" applyNumberFormat="1" applyFont="1" applyFill="1"/>
    <xf numFmtId="1" fontId="0" fillId="5" borderId="0" xfId="0" applyNumberFormat="1" applyFill="1"/>
    <xf numFmtId="0" fontId="5" fillId="5" borderId="0" xfId="0" applyFont="1" applyFill="1" applyProtection="1">
      <protection locked="0"/>
    </xf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3" fontId="5" fillId="5" borderId="2" xfId="0" applyNumberFormat="1" applyFont="1" applyFill="1" applyBorder="1" applyAlignment="1">
      <alignment horizontal="center"/>
    </xf>
    <xf numFmtId="1" fontId="14" fillId="5" borderId="0" xfId="1" applyNumberFormat="1" applyFont="1" applyFill="1" applyAlignment="1">
      <alignment horizontal="center" vertical="center"/>
    </xf>
    <xf numFmtId="169" fontId="14" fillId="5" borderId="0" xfId="1" applyNumberFormat="1" applyFont="1" applyFill="1" applyAlignment="1">
      <alignment horizontal="center" vertical="center"/>
    </xf>
    <xf numFmtId="0" fontId="22" fillId="5" borderId="0" xfId="0" applyFont="1" applyFill="1"/>
    <xf numFmtId="0" fontId="23" fillId="5" borderId="0" xfId="0" applyFont="1" applyFill="1" applyAlignment="1">
      <alignment horizontal="center"/>
    </xf>
    <xf numFmtId="0" fontId="23" fillId="5" borderId="0" xfId="0" applyFont="1" applyFill="1"/>
    <xf numFmtId="165" fontId="23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3" fontId="17" fillId="5" borderId="0" xfId="0" applyNumberFormat="1" applyFont="1" applyFill="1" applyAlignment="1">
      <alignment horizontal="center"/>
    </xf>
    <xf numFmtId="2" fontId="17" fillId="5" borderId="0" xfId="0" applyNumberFormat="1" applyFont="1" applyFill="1" applyAlignment="1">
      <alignment horizontal="center"/>
    </xf>
    <xf numFmtId="9" fontId="17" fillId="5" borderId="0" xfId="3" applyFont="1" applyFill="1"/>
    <xf numFmtId="169" fontId="17" fillId="5" borderId="0" xfId="0" applyNumberFormat="1" applyFont="1" applyFill="1" applyAlignment="1">
      <alignment horizontal="center"/>
    </xf>
    <xf numFmtId="1" fontId="17" fillId="5" borderId="0" xfId="0" applyNumberFormat="1" applyFont="1" applyFill="1" applyAlignment="1">
      <alignment horizontal="center"/>
    </xf>
    <xf numFmtId="166" fontId="17" fillId="5" borderId="0" xfId="0" applyNumberFormat="1" applyFont="1" applyFill="1" applyAlignment="1">
      <alignment horizontal="center"/>
    </xf>
    <xf numFmtId="164" fontId="2" fillId="5" borderId="0" xfId="0" applyNumberFormat="1" applyFont="1" applyFill="1"/>
    <xf numFmtId="1" fontId="0" fillId="2" borderId="4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9" fontId="5" fillId="2" borderId="4" xfId="3" applyFont="1" applyFill="1" applyBorder="1" applyAlignment="1" applyProtection="1">
      <alignment horizontal="center"/>
      <protection locked="0"/>
    </xf>
    <xf numFmtId="165" fontId="5" fillId="2" borderId="4" xfId="0" applyNumberFormat="1" applyFont="1" applyFill="1" applyBorder="1" applyAlignment="1" applyProtection="1">
      <alignment horizontal="center"/>
      <protection locked="0"/>
    </xf>
    <xf numFmtId="4" fontId="1" fillId="5" borderId="2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9" fontId="8" fillId="2" borderId="0" xfId="3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left"/>
    </xf>
    <xf numFmtId="0" fontId="27" fillId="5" borderId="0" xfId="0" applyFont="1" applyFill="1" applyAlignment="1">
      <alignment horizontal="center"/>
    </xf>
    <xf numFmtId="0" fontId="5" fillId="5" borderId="0" xfId="0" applyFont="1" applyFill="1" applyAlignment="1"/>
    <xf numFmtId="0" fontId="1" fillId="5" borderId="0" xfId="0" applyFont="1" applyFill="1" applyAlignment="1"/>
    <xf numFmtId="0" fontId="0" fillId="5" borderId="0" xfId="0" applyFill="1" applyAlignment="1"/>
    <xf numFmtId="0" fontId="0" fillId="2" borderId="0" xfId="0" applyFill="1" applyAlignment="1" applyProtection="1">
      <alignment horizontal="right"/>
      <protection locked="0"/>
    </xf>
    <xf numFmtId="165" fontId="0" fillId="2" borderId="0" xfId="0" applyNumberFormat="1" applyFill="1" applyProtection="1">
      <protection locked="0"/>
    </xf>
    <xf numFmtId="9" fontId="9" fillId="2" borderId="0" xfId="3" applyFont="1" applyFill="1" applyProtection="1">
      <protection locked="0"/>
    </xf>
    <xf numFmtId="9" fontId="8" fillId="2" borderId="0" xfId="3" applyFont="1" applyFill="1" applyProtection="1">
      <protection locked="0"/>
    </xf>
    <xf numFmtId="0" fontId="28" fillId="5" borderId="0" xfId="0" applyFont="1" applyFill="1"/>
    <xf numFmtId="0" fontId="27" fillId="5" borderId="0" xfId="0" applyFont="1" applyFill="1"/>
    <xf numFmtId="0" fontId="29" fillId="5" borderId="0" xfId="0" applyFont="1" applyFill="1"/>
    <xf numFmtId="167" fontId="27" fillId="5" borderId="0" xfId="0" applyNumberFormat="1" applyFont="1" applyFill="1"/>
    <xf numFmtId="164" fontId="5" fillId="5" borderId="0" xfId="0" applyNumberFormat="1" applyFont="1" applyFill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33" fillId="5" borderId="3" xfId="0" applyFont="1" applyFill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2" fontId="0" fillId="5" borderId="0" xfId="0" applyNumberFormat="1" applyFill="1" applyProtection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3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9" fontId="5" fillId="0" borderId="0" xfId="3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>
      <alignment horizontal="right"/>
    </xf>
    <xf numFmtId="0" fontId="11" fillId="2" borderId="0" xfId="0" applyFont="1" applyFill="1"/>
    <xf numFmtId="0" fontId="5" fillId="2" borderId="0" xfId="0" applyFont="1" applyFill="1"/>
    <xf numFmtId="0" fontId="1" fillId="2" borderId="0" xfId="0" applyFont="1" applyFill="1"/>
    <xf numFmtId="165" fontId="0" fillId="2" borderId="0" xfId="0" applyNumberFormat="1" applyFill="1"/>
    <xf numFmtId="165" fontId="1" fillId="2" borderId="2" xfId="0" applyNumberFormat="1" applyFont="1" applyFill="1" applyBorder="1"/>
    <xf numFmtId="9" fontId="14" fillId="2" borderId="0" xfId="3" applyFont="1" applyFill="1"/>
    <xf numFmtId="1" fontId="5" fillId="2" borderId="0" xfId="0" applyNumberFormat="1" applyFont="1" applyFill="1" applyBorder="1"/>
    <xf numFmtId="1" fontId="1" fillId="2" borderId="2" xfId="0" applyNumberFormat="1" applyFont="1" applyFill="1" applyBorder="1"/>
    <xf numFmtId="168" fontId="20" fillId="2" borderId="0" xfId="1" applyNumberFormat="1" applyFont="1" applyFill="1"/>
    <xf numFmtId="0" fontId="34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Fill="1" applyBorder="1"/>
    <xf numFmtId="0" fontId="0" fillId="0" borderId="0" xfId="0" applyFill="1" applyBorder="1" applyAlignment="1" applyProtection="1">
      <alignment horizontal="right"/>
      <protection locked="0"/>
    </xf>
    <xf numFmtId="2" fontId="17" fillId="0" borderId="0" xfId="0" applyNumberFormat="1" applyFont="1" applyFill="1" applyBorder="1"/>
    <xf numFmtId="165" fontId="0" fillId="0" borderId="0" xfId="0" applyNumberFormat="1" applyFill="1" applyBorder="1"/>
    <xf numFmtId="9" fontId="14" fillId="0" borderId="0" xfId="3" applyFont="1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 applyProtection="1">
      <alignment horizontal="right"/>
    </xf>
    <xf numFmtId="165" fontId="0" fillId="0" borderId="0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2" fontId="0" fillId="0" borderId="0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Alignment="1" applyProtection="1">
      <alignment horizontal="right"/>
    </xf>
    <xf numFmtId="9" fontId="5" fillId="0" borderId="0" xfId="3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9" fontId="9" fillId="0" borderId="0" xfId="3" applyFont="1" applyFill="1" applyBorder="1" applyAlignment="1" applyProtection="1">
      <alignment horizontal="right"/>
      <protection locked="0"/>
    </xf>
    <xf numFmtId="9" fontId="8" fillId="0" borderId="0" xfId="3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9" fontId="14" fillId="0" borderId="0" xfId="3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165" fontId="5" fillId="3" borderId="0" xfId="0" applyNumberFormat="1" applyFont="1" applyFill="1"/>
    <xf numFmtId="9" fontId="17" fillId="5" borderId="0" xfId="3" applyFont="1" applyFill="1" applyAlignment="1">
      <alignment horizontal="center"/>
    </xf>
    <xf numFmtId="0" fontId="0" fillId="5" borderId="0" xfId="0" applyFill="1" applyBorder="1"/>
    <xf numFmtId="165" fontId="0" fillId="2" borderId="4" xfId="0" applyNumberFormat="1" applyFill="1" applyBorder="1" applyAlignment="1" applyProtection="1">
      <alignment horizontal="center"/>
      <protection locked="0"/>
    </xf>
    <xf numFmtId="0" fontId="5" fillId="5" borderId="0" xfId="0" applyFont="1" applyFill="1" applyAlignment="1">
      <alignment horizontal="right"/>
    </xf>
    <xf numFmtId="0" fontId="5" fillId="5" borderId="0" xfId="0" applyFont="1" applyFill="1" applyAlignment="1" applyProtection="1">
      <alignment horizontal="center"/>
      <protection locked="0"/>
    </xf>
    <xf numFmtId="0" fontId="5" fillId="2" borderId="4" xfId="1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Protection="1"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0" fontId="17" fillId="5" borderId="0" xfId="0" applyFont="1" applyFill="1" applyAlignment="1" applyProtection="1">
      <alignment horizontal="center"/>
      <protection locked="0"/>
    </xf>
    <xf numFmtId="165" fontId="16" fillId="5" borderId="0" xfId="0" applyNumberFormat="1" applyFont="1" applyFill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165" fontId="17" fillId="5" borderId="0" xfId="0" applyNumberFormat="1" applyFont="1" applyFill="1" applyAlignment="1" applyProtection="1">
      <alignment horizontal="center"/>
      <protection locked="0"/>
    </xf>
    <xf numFmtId="164" fontId="17" fillId="5" borderId="0" xfId="0" applyNumberFormat="1" applyFont="1" applyFill="1" applyAlignment="1" applyProtection="1">
      <alignment horizontal="center"/>
      <protection locked="0"/>
    </xf>
    <xf numFmtId="0" fontId="16" fillId="5" borderId="0" xfId="0" applyFont="1" applyFill="1" applyProtection="1">
      <protection locked="0"/>
    </xf>
    <xf numFmtId="165" fontId="17" fillId="5" borderId="0" xfId="0" applyNumberFormat="1" applyFont="1" applyFill="1" applyProtection="1">
      <protection locked="0"/>
    </xf>
    <xf numFmtId="0" fontId="17" fillId="5" borderId="0" xfId="0" applyFont="1" applyFill="1" applyAlignment="1" applyProtection="1">
      <alignment horizontal="left"/>
      <protection locked="0"/>
    </xf>
    <xf numFmtId="9" fontId="0" fillId="2" borderId="0" xfId="3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9" fontId="5" fillId="2" borderId="0" xfId="3" applyFont="1" applyFill="1" applyAlignment="1" applyProtection="1">
      <alignment horizontal="center"/>
      <protection locked="0"/>
    </xf>
    <xf numFmtId="3" fontId="5" fillId="2" borderId="0" xfId="3" applyNumberFormat="1" applyFont="1" applyFill="1" applyAlignment="1" applyProtection="1">
      <alignment horizontal="center"/>
      <protection locked="0"/>
    </xf>
    <xf numFmtId="0" fontId="7" fillId="5" borderId="0" xfId="0" applyFont="1" applyFill="1" applyProtection="1"/>
    <xf numFmtId="3" fontId="8" fillId="5" borderId="0" xfId="0" applyNumberFormat="1" applyFont="1" applyFill="1" applyAlignment="1" applyProtection="1">
      <alignment horizontal="right"/>
    </xf>
    <xf numFmtId="0" fontId="8" fillId="5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" fillId="5" borderId="0" xfId="0" applyFont="1" applyFill="1" applyProtection="1"/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3" fontId="1" fillId="5" borderId="0" xfId="0" applyNumberFormat="1" applyFont="1" applyFill="1" applyAlignment="1" applyProtection="1">
      <alignment horizontal="right"/>
    </xf>
    <xf numFmtId="3" fontId="0" fillId="5" borderId="0" xfId="0" applyNumberFormat="1" applyFill="1" applyAlignment="1" applyProtection="1">
      <alignment horizontal="right"/>
    </xf>
    <xf numFmtId="3" fontId="1" fillId="5" borderId="0" xfId="0" applyNumberFormat="1" applyFont="1" applyFill="1" applyProtection="1"/>
    <xf numFmtId="3" fontId="0" fillId="5" borderId="0" xfId="0" applyNumberFormat="1" applyFill="1" applyProtection="1"/>
    <xf numFmtId="3" fontId="5" fillId="5" borderId="0" xfId="0" applyNumberFormat="1" applyFont="1" applyFill="1" applyProtection="1"/>
    <xf numFmtId="0" fontId="7" fillId="5" borderId="0" xfId="0" applyFont="1" applyFill="1" applyAlignment="1" applyProtection="1">
      <alignment horizontal="left"/>
    </xf>
    <xf numFmtId="0" fontId="8" fillId="5" borderId="0" xfId="0" applyFont="1" applyFill="1" applyAlignment="1" applyProtection="1">
      <alignment horizontal="left"/>
    </xf>
    <xf numFmtId="0" fontId="20" fillId="5" borderId="0" xfId="0" applyFont="1" applyFill="1" applyProtection="1"/>
    <xf numFmtId="0" fontId="2" fillId="5" borderId="0" xfId="0" applyFont="1" applyFill="1" applyProtection="1"/>
    <xf numFmtId="1" fontId="0" fillId="5" borderId="0" xfId="0" applyNumberFormat="1" applyFill="1" applyProtection="1"/>
    <xf numFmtId="0" fontId="24" fillId="5" borderId="0" xfId="0" applyFont="1" applyFill="1" applyProtection="1"/>
    <xf numFmtId="0" fontId="25" fillId="5" borderId="0" xfId="0" applyFont="1" applyFill="1" applyProtection="1"/>
    <xf numFmtId="0" fontId="25" fillId="5" borderId="0" xfId="0" applyFont="1" applyFill="1" applyAlignment="1" applyProtection="1">
      <alignment horizontal="left"/>
    </xf>
    <xf numFmtId="0" fontId="0" fillId="5" borderId="0" xfId="0" applyFill="1" applyProtection="1">
      <protection locked="0"/>
    </xf>
    <xf numFmtId="0" fontId="5" fillId="0" borderId="0" xfId="0" applyFont="1" applyFill="1"/>
    <xf numFmtId="165" fontId="0" fillId="0" borderId="0" xfId="0" applyNumberFormat="1" applyFill="1" applyProtection="1">
      <protection locked="0"/>
    </xf>
    <xf numFmtId="0" fontId="5" fillId="6" borderId="0" xfId="0" applyFont="1" applyFill="1" applyProtection="1">
      <protection locked="0"/>
    </xf>
    <xf numFmtId="3" fontId="0" fillId="6" borderId="0" xfId="0" applyNumberFormat="1" applyFill="1" applyAlignment="1" applyProtection="1">
      <alignment horizontal="right"/>
      <protection locked="0"/>
    </xf>
    <xf numFmtId="0" fontId="5" fillId="0" borderId="0" xfId="0" applyFont="1" applyFill="1" applyProtection="1"/>
    <xf numFmtId="3" fontId="0" fillId="0" borderId="0" xfId="0" applyNumberFormat="1" applyFill="1" applyAlignment="1" applyProtection="1">
      <alignment horizontal="right"/>
      <protection locked="0"/>
    </xf>
    <xf numFmtId="0" fontId="8" fillId="5" borderId="0" xfId="0" applyFont="1" applyFill="1" applyProtection="1">
      <protection locked="0"/>
    </xf>
    <xf numFmtId="1" fontId="24" fillId="5" borderId="0" xfId="0" applyNumberFormat="1" applyFont="1" applyFill="1" applyProtection="1">
      <protection locked="0"/>
    </xf>
    <xf numFmtId="0" fontId="25" fillId="5" borderId="0" xfId="0" applyFont="1" applyFill="1" applyProtection="1">
      <protection locked="0"/>
    </xf>
    <xf numFmtId="1" fontId="25" fillId="5" borderId="0" xfId="0" applyNumberFormat="1" applyFont="1" applyFill="1" applyProtection="1">
      <protection locked="0"/>
    </xf>
    <xf numFmtId="0" fontId="17" fillId="5" borderId="0" xfId="0" applyFont="1" applyFill="1" applyProtection="1">
      <protection locked="0"/>
    </xf>
    <xf numFmtId="2" fontId="17" fillId="5" borderId="0" xfId="0" applyNumberFormat="1" applyFont="1" applyFill="1" applyProtection="1">
      <protection locked="0"/>
    </xf>
    <xf numFmtId="0" fontId="5" fillId="5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3" fontId="36" fillId="2" borderId="0" xfId="0" applyNumberFormat="1" applyFont="1" applyFill="1" applyAlignment="1" applyProtection="1">
      <alignment horizontal="center"/>
      <protection locked="0"/>
    </xf>
    <xf numFmtId="0" fontId="36" fillId="5" borderId="5" xfId="0" applyFont="1" applyFill="1" applyBorder="1" applyProtection="1">
      <protection locked="0"/>
    </xf>
    <xf numFmtId="0" fontId="37" fillId="5" borderId="0" xfId="0" applyFont="1" applyFill="1" applyAlignment="1">
      <alignment horizontal="left" vertical="center"/>
    </xf>
    <xf numFmtId="0" fontId="0" fillId="6" borderId="0" xfId="0" applyFill="1" applyProtection="1">
      <protection locked="0"/>
    </xf>
    <xf numFmtId="164" fontId="0" fillId="6" borderId="0" xfId="0" applyNumberFormat="1" applyFill="1" applyProtection="1">
      <protection locked="0"/>
    </xf>
    <xf numFmtId="0" fontId="36" fillId="5" borderId="0" xfId="0" applyFont="1" applyFill="1" applyProtection="1">
      <protection locked="0"/>
    </xf>
    <xf numFmtId="0" fontId="38" fillId="5" borderId="0" xfId="0" applyFont="1" applyFill="1" applyProtection="1">
      <protection locked="0"/>
    </xf>
    <xf numFmtId="0" fontId="38" fillId="5" borderId="5" xfId="0" applyFont="1" applyFill="1" applyBorder="1" applyProtection="1">
      <protection locked="0"/>
    </xf>
    <xf numFmtId="3" fontId="36" fillId="5" borderId="0" xfId="0" applyNumberFormat="1" applyFont="1" applyFill="1" applyAlignment="1" applyProtection="1">
      <alignment horizontal="center"/>
      <protection locked="0"/>
    </xf>
    <xf numFmtId="0" fontId="36" fillId="5" borderId="0" xfId="0" applyFont="1" applyFill="1" applyAlignment="1" applyProtection="1">
      <alignment horizontal="center"/>
      <protection locked="0"/>
    </xf>
    <xf numFmtId="3" fontId="38" fillId="5" borderId="0" xfId="0" applyNumberFormat="1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center"/>
      <protection locked="0"/>
    </xf>
    <xf numFmtId="2" fontId="36" fillId="6" borderId="0" xfId="0" applyNumberFormat="1" applyFont="1" applyFill="1" applyAlignment="1" applyProtection="1">
      <alignment horizontal="center"/>
      <protection locked="0"/>
    </xf>
    <xf numFmtId="2" fontId="36" fillId="5" borderId="0" xfId="0" applyNumberFormat="1" applyFont="1" applyFill="1" applyAlignment="1" applyProtection="1">
      <alignment horizontal="center"/>
      <protection locked="0"/>
    </xf>
    <xf numFmtId="9" fontId="0" fillId="5" borderId="0" xfId="3" applyFont="1" applyFill="1" applyAlignment="1" applyProtection="1">
      <alignment horizontal="left"/>
    </xf>
    <xf numFmtId="3" fontId="0" fillId="0" borderId="0" xfId="0" applyNumberFormat="1" applyFill="1" applyBorder="1"/>
    <xf numFmtId="3" fontId="36" fillId="7" borderId="0" xfId="0" applyNumberFormat="1" applyFont="1" applyFill="1" applyAlignment="1" applyProtection="1">
      <alignment horizontal="center"/>
      <protection locked="0"/>
    </xf>
    <xf numFmtId="0" fontId="33" fillId="5" borderId="0" xfId="0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Standard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DD8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63687183208766"/>
          <c:y val="5.4607508532423306E-2"/>
          <c:w val="0.80607871721146762"/>
          <c:h val="0.74402730375426618"/>
        </c:manualLayout>
      </c:layout>
      <c:scatterChart>
        <c:scatterStyle val="lineMarker"/>
        <c:varyColors val="0"/>
        <c:ser>
          <c:idx val="0"/>
          <c:order val="0"/>
          <c:tx>
            <c:strRef>
              <c:f>Berechnungen!$B$66</c:f>
              <c:strCache>
                <c:ptCount val="1"/>
                <c:pt idx="0">
                  <c:v>Erdsonde-WP</c:v>
                </c:pt>
              </c:strCache>
            </c:strRef>
          </c:tx>
          <c:spPr>
            <a:ln w="12700"/>
          </c:spPr>
          <c:xVal>
            <c:numRef>
              <c:f>Berechnungen!$A$67:$A$73</c:f>
              <c:numCache>
                <c:formatCode>0%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</c:numCache>
            </c:numRef>
          </c:xVal>
          <c:yVal>
            <c:numRef>
              <c:f>Berechnungen!$B$67:$B$73</c:f>
              <c:numCache>
                <c:formatCode>0.0</c:formatCode>
                <c:ptCount val="7"/>
                <c:pt idx="0">
                  <c:v>3010.3434351448964</c:v>
                </c:pt>
                <c:pt idx="1">
                  <c:v>3362.0701313648965</c:v>
                </c:pt>
                <c:pt idx="2">
                  <c:v>3713.7968275848962</c:v>
                </c:pt>
                <c:pt idx="3">
                  <c:v>4065.5235238048958</c:v>
                </c:pt>
                <c:pt idx="4">
                  <c:v>4417.2502200248973</c:v>
                </c:pt>
                <c:pt idx="5">
                  <c:v>4768.9769162448965</c:v>
                </c:pt>
                <c:pt idx="6">
                  <c:v>5120.7036124648967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Berechnungen!$C$66</c:f>
              <c:strCache>
                <c:ptCount val="1"/>
                <c:pt idx="0">
                  <c:v>Pelletheizung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Berechnungen!$A$67:$A$73</c:f>
              <c:numCache>
                <c:formatCode>0%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</c:numCache>
            </c:numRef>
          </c:xVal>
          <c:yVal>
            <c:numRef>
              <c:f>Berechnungen!$C$67:$C$73</c:f>
              <c:numCache>
                <c:formatCode>0.0</c:formatCode>
                <c:ptCount val="7"/>
                <c:pt idx="0">
                  <c:v>5282.5528802542258</c:v>
                </c:pt>
                <c:pt idx="1">
                  <c:v>5511.4580300405787</c:v>
                </c:pt>
                <c:pt idx="2">
                  <c:v>5740.3631798269316</c:v>
                </c:pt>
                <c:pt idx="3">
                  <c:v>5969.2683296132845</c:v>
                </c:pt>
                <c:pt idx="4">
                  <c:v>6198.1734793996375</c:v>
                </c:pt>
                <c:pt idx="5">
                  <c:v>6427.0786291859904</c:v>
                </c:pt>
                <c:pt idx="6">
                  <c:v>6655.9837789723433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Berechnungen!$D$66</c:f>
              <c:strCache>
                <c:ptCount val="1"/>
                <c:pt idx="0">
                  <c:v>Erdgas</c:v>
                </c:pt>
              </c:strCache>
            </c:strRef>
          </c:tx>
          <c:spPr>
            <a:ln w="12700"/>
          </c:spPr>
          <c:xVal>
            <c:numRef>
              <c:f>Berechnungen!$A$67:$A$73</c:f>
              <c:numCache>
                <c:formatCode>0%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</c:numCache>
            </c:numRef>
          </c:xVal>
          <c:yVal>
            <c:numRef>
              <c:f>Berechnungen!$D$67:$D$73</c:f>
              <c:numCache>
                <c:formatCode>0.0</c:formatCode>
                <c:ptCount val="7"/>
                <c:pt idx="0">
                  <c:v>3923.1811507261141</c:v>
                </c:pt>
                <c:pt idx="1">
                  <c:v>4320.9801062292727</c:v>
                </c:pt>
                <c:pt idx="2">
                  <c:v>4718.7790617324299</c:v>
                </c:pt>
                <c:pt idx="3">
                  <c:v>5116.578017235588</c:v>
                </c:pt>
                <c:pt idx="4">
                  <c:v>5514.3769727387462</c:v>
                </c:pt>
                <c:pt idx="5">
                  <c:v>5912.1759282419034</c:v>
                </c:pt>
                <c:pt idx="6">
                  <c:v>6309.9748837450616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Berechnungen!$E$66</c:f>
              <c:strCache>
                <c:ptCount val="1"/>
                <c:pt idx="0">
                  <c:v>Erdöl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Berechnungen!$A$67:$A$73</c:f>
              <c:numCache>
                <c:formatCode>0%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</c:numCache>
            </c:numRef>
          </c:xVal>
          <c:yVal>
            <c:numRef>
              <c:f>Berechnungen!$E$67:$E$73</c:f>
              <c:numCache>
                <c:formatCode>0.0</c:formatCode>
                <c:ptCount val="7"/>
                <c:pt idx="0">
                  <c:v>4643.6044738498576</c:v>
                </c:pt>
                <c:pt idx="1">
                  <c:v>4985.1526831988776</c:v>
                </c:pt>
                <c:pt idx="2">
                  <c:v>5326.7008925478976</c:v>
                </c:pt>
                <c:pt idx="3">
                  <c:v>5668.2491018969167</c:v>
                </c:pt>
                <c:pt idx="4">
                  <c:v>6009.7973112459367</c:v>
                </c:pt>
                <c:pt idx="5">
                  <c:v>6351.3455205949567</c:v>
                </c:pt>
                <c:pt idx="6">
                  <c:v>6692.8937299439758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33568"/>
        <c:axId val="294834128"/>
      </c:scatterChart>
      <c:valAx>
        <c:axId val="294833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Veränderung des Energiepreises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1"/>
        <c:majorTickMark val="cross"/>
        <c:minorTickMark val="none"/>
        <c:tickLblPos val="nextTo"/>
        <c:spPr>
          <a:ln cap="flat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34128"/>
        <c:crosses val="autoZero"/>
        <c:crossBetween val="midCat"/>
      </c:valAx>
      <c:valAx>
        <c:axId val="294834128"/>
        <c:scaling>
          <c:orientation val="minMax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strRef>
              <c:f>Ortsdaten!$G$9</c:f>
              <c:strCache>
                <c:ptCount val="1"/>
                <c:pt idx="0">
                  <c:v>Auswirkung auf die jährlichen Wärmekosten [Fr. / a]</c:v>
                </c:pt>
              </c:strCache>
            </c:strRef>
          </c:tx>
          <c:layout>
            <c:manualLayout>
              <c:xMode val="edge"/>
              <c:yMode val="edge"/>
              <c:x val="1.5918997062957841E-2"/>
              <c:y val="0.1365187713310580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" sourceLinked="1"/>
        <c:majorTickMark val="cross"/>
        <c:min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33568"/>
        <c:crossesAt val="-100"/>
        <c:crossBetween val="midCat"/>
      </c:valAx>
    </c:plotArea>
    <c:legend>
      <c:legendPos val="r"/>
      <c:layout>
        <c:manualLayout>
          <c:xMode val="edge"/>
          <c:yMode val="edge"/>
          <c:x val="0.17945015218525839"/>
          <c:y val="0.70989761092150172"/>
          <c:w val="0.79160699252216116"/>
          <c:h val="8.5324232081911311E-2"/>
        </c:manualLayout>
      </c:layout>
      <c:overlay val="0"/>
      <c:spPr>
        <a:noFill/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41408492162812"/>
          <c:y val="7.0303030303030478E-2"/>
          <c:w val="0.80065273382883262"/>
          <c:h val="0.86545454545454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Ergebnisse!$B$1:$E$1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Ergebnisse!$B$1:$E$1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Ergebnisse!$B$10:$E$10</c:f>
              <c:numCache>
                <c:formatCode>#,##0</c:formatCode>
                <c:ptCount val="4"/>
                <c:pt idx="0">
                  <c:v>-5.4788680000010572</c:v>
                </c:pt>
                <c:pt idx="1">
                  <c:v>-9.2033475764710602</c:v>
                </c:pt>
                <c:pt idx="2">
                  <c:v>-9.8808899368423226</c:v>
                </c:pt>
                <c:pt idx="3">
                  <c:v>-3.4631616000015129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4836928"/>
        <c:axId val="294837488"/>
      </c:barChart>
      <c:catAx>
        <c:axId val="2948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37488"/>
        <c:crosses val="autoZero"/>
        <c:auto val="0"/>
        <c:lblAlgn val="ctr"/>
        <c:lblOffset val="100"/>
        <c:noMultiLvlLbl val="0"/>
      </c:catAx>
      <c:valAx>
        <c:axId val="2948374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Energieeinsatz  [kWh/a]</a:t>
                </a:r>
              </a:p>
            </c:rich>
          </c:tx>
          <c:layout>
            <c:manualLayout>
              <c:xMode val="edge"/>
              <c:yMode val="edge"/>
              <c:x val="4.6385556945568719E-4"/>
              <c:y val="0.178912526843235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cross"/>
        <c:tickLblPos val="nextTo"/>
        <c:spPr>
          <a:ln>
            <a:prstDash val="sysDot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3692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73704874966994"/>
          <c:y val="2.4361356028101279E-2"/>
          <c:w val="0.82017660958146243"/>
          <c:h val="0.9234953714618008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Berechnungen!$A$81</c:f>
              <c:strCache>
                <c:ptCount val="1"/>
                <c:pt idx="0">
                  <c:v>PV-Ertrag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Berechnungen!$B$77:$I$77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Berechnungen!$B$81:$E$81</c:f>
              <c:numCache>
                <c:formatCode>0</c:formatCode>
                <c:ptCount val="4"/>
                <c:pt idx="0">
                  <c:v>-248.60639999999995</c:v>
                </c:pt>
                <c:pt idx="1">
                  <c:v>-488.98079999999987</c:v>
                </c:pt>
                <c:pt idx="2">
                  <c:v>-442.88160000000011</c:v>
                </c:pt>
                <c:pt idx="3">
                  <c:v>-464.28479999999996</c:v>
                </c:pt>
              </c:numCache>
            </c:numRef>
          </c:val>
        </c:ser>
        <c:ser>
          <c:idx val="0"/>
          <c:order val="1"/>
          <c:tx>
            <c:strRef>
              <c:f>Berechnungen!$A$78</c:f>
              <c:strCache>
                <c:ptCount val="1"/>
                <c:pt idx="0">
                  <c:v>Energie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Berechnungen!$B$77:$I$77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Berechnungen!$B$78:$E$78</c:f>
              <c:numCache>
                <c:formatCode>#,##0_ ;\-#,##0\ </c:formatCode>
                <c:ptCount val="4"/>
                <c:pt idx="0">
                  <c:v>703.45339244000002</c:v>
                </c:pt>
                <c:pt idx="1">
                  <c:v>457.81029957270596</c:v>
                </c:pt>
                <c:pt idx="2">
                  <c:v>795.59791100631583</c:v>
                </c:pt>
                <c:pt idx="3">
                  <c:v>683.0964186980392</c:v>
                </c:pt>
              </c:numCache>
            </c:numRef>
          </c:val>
        </c:ser>
        <c:ser>
          <c:idx val="1"/>
          <c:order val="2"/>
          <c:tx>
            <c:strRef>
              <c:f>Berechnungen!$A$79</c:f>
              <c:strCache>
                <c:ptCount val="1"/>
                <c:pt idx="0">
                  <c:v>Wartung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Berechnungen!$B$77:$I$77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Berechnungen!$B$79:$E$79</c:f>
              <c:numCache>
                <c:formatCode>#,##0_ ;\-#,##0\ </c:formatCode>
                <c:ptCount val="4"/>
                <c:pt idx="0">
                  <c:v>1</c:v>
                </c:pt>
                <c:pt idx="1">
                  <c:v>400</c:v>
                </c:pt>
                <c:pt idx="2">
                  <c:v>0</c:v>
                </c:pt>
                <c:pt idx="3">
                  <c:v>400</c:v>
                </c:pt>
              </c:numCache>
            </c:numRef>
          </c:val>
        </c:ser>
        <c:ser>
          <c:idx val="2"/>
          <c:order val="3"/>
          <c:tx>
            <c:strRef>
              <c:f>Berechnungen!$A$80</c:f>
              <c:strCache>
                <c:ptCount val="1"/>
                <c:pt idx="0">
                  <c:v>Investition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Berechnungen!$B$77:$I$77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Berechnungen!$B$80:$E$80</c:f>
              <c:numCache>
                <c:formatCode>#,##0_ ;\-#,##0\ </c:formatCode>
                <c:ptCount val="4"/>
                <c:pt idx="0">
                  <c:v>2906.2231389248964</c:v>
                </c:pt>
                <c:pt idx="1">
                  <c:v>5142.6285304678731</c:v>
                </c:pt>
                <c:pt idx="2">
                  <c:v>3968.2637952229561</c:v>
                </c:pt>
                <c:pt idx="3">
                  <c:v>4366.3410645008389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4841968"/>
        <c:axId val="294842528"/>
      </c:barChart>
      <c:scatterChart>
        <c:scatterStyle val="lineMarker"/>
        <c:varyColors val="0"/>
        <c:ser>
          <c:idx val="4"/>
          <c:order val="4"/>
          <c:tx>
            <c:strRef>
              <c:f>Berechnungen!$A$82</c:f>
              <c:strCache>
                <c:ptCount val="1"/>
                <c:pt idx="0">
                  <c:v>Gesamt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3"/>
            <c:spPr>
              <a:solidFill>
                <a:srgbClr val="FF0000"/>
              </a:solidFill>
              <a:ln w="0"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Berechnungen!$B$77:$I$77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xVal>
          <c:yVal>
            <c:numRef>
              <c:f>Berechnungen!$B$82:$E$82</c:f>
              <c:numCache>
                <c:formatCode>#,##0_ ;[Red]\-#,##0\ </c:formatCode>
                <c:ptCount val="4"/>
                <c:pt idx="0">
                  <c:v>3362.0701313648965</c:v>
                </c:pt>
                <c:pt idx="1">
                  <c:v>5511.4580300405787</c:v>
                </c:pt>
                <c:pt idx="2">
                  <c:v>4320.9801062292727</c:v>
                </c:pt>
                <c:pt idx="3">
                  <c:v>4985.1526831988776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41968"/>
        <c:axId val="294842528"/>
      </c:scatterChart>
      <c:catAx>
        <c:axId val="29484196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42528"/>
        <c:crossesAt val="0"/>
        <c:auto val="0"/>
        <c:lblAlgn val="ctr"/>
        <c:lblOffset val="100"/>
        <c:noMultiLvlLbl val="0"/>
      </c:catAx>
      <c:valAx>
        <c:axId val="29484252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strRef>
              <c:f>Ortsdaten!$G$8</c:f>
              <c:strCache>
                <c:ptCount val="1"/>
                <c:pt idx="0">
                  <c:v>Kosten pro Jahr [Fr. / a]</c:v>
                </c:pt>
              </c:strCache>
            </c:strRef>
          </c:tx>
          <c:layout>
            <c:manualLayout>
              <c:xMode val="edge"/>
              <c:yMode val="edge"/>
              <c:x val="7.3099806805674216E-3"/>
              <c:y val="0.3006333789114684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" sourceLinked="1"/>
        <c:majorTickMark val="cross"/>
        <c:min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4841968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14569007319832822"/>
          <c:y val="2.8114479702013296E-2"/>
          <c:w val="0.81716427675279579"/>
          <c:h val="7.750326119414714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2552204176334"/>
          <c:y val="7.4074427565241407E-2"/>
          <c:w val="0.80046403712296865"/>
          <c:h val="0.744110218545914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Ergebnisse!$B$1:$E$1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Ergebnisse!$B$1:$E$1</c:f>
              <c:strCache>
                <c:ptCount val="4"/>
                <c:pt idx="0">
                  <c:v>Erdsonde-WP</c:v>
                </c:pt>
                <c:pt idx="1">
                  <c:v>Pelletheizung</c:v>
                </c:pt>
                <c:pt idx="2">
                  <c:v>Erdgas</c:v>
                </c:pt>
                <c:pt idx="3">
                  <c:v>Erdöl</c:v>
                </c:pt>
              </c:strCache>
            </c:strRef>
          </c:cat>
          <c:val>
            <c:numRef>
              <c:f>Ergebnisse!$B$12:$E$12</c:f>
              <c:numCache>
                <c:formatCode>#,##0.00</c:formatCode>
                <c:ptCount val="4"/>
                <c:pt idx="0">
                  <c:v>9.9311067167999992E-2</c:v>
                </c:pt>
                <c:pt idx="1">
                  <c:v>2.0039999999999999E-2</c:v>
                </c:pt>
                <c:pt idx="2">
                  <c:v>1.3818064812631576</c:v>
                </c:pt>
                <c:pt idx="3">
                  <c:v>2.1282562561777776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6698768"/>
        <c:axId val="296699328"/>
      </c:barChart>
      <c:catAx>
        <c:axId val="29669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6699328"/>
        <c:crosses val="autoZero"/>
        <c:auto val="0"/>
        <c:lblAlgn val="ctr"/>
        <c:lblOffset val="100"/>
        <c:noMultiLvlLbl val="0"/>
      </c:catAx>
      <c:valAx>
        <c:axId val="296699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CO2-Ausstoss [Tonnen]</a:t>
                </a:r>
              </a:p>
            </c:rich>
          </c:tx>
          <c:layout>
            <c:manualLayout>
              <c:xMode val="edge"/>
              <c:yMode val="edge"/>
              <c:x val="3.3348801237432328E-2"/>
              <c:y val="0.19669061569324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cross"/>
        <c:tickLblPos val="nextTo"/>
        <c:spPr>
          <a:ln>
            <a:prstDash val="sysDot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669876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812133019455"/>
          <c:y val="8.0772022141300207E-2"/>
          <c:w val="0.85610249749709111"/>
          <c:h val="0.75909410527928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Berechnungen!$B$6</c:f>
              <c:strCache>
                <c:ptCount val="1"/>
                <c:pt idx="0">
                  <c:v>Erdsonde-WP</c:v>
                </c:pt>
              </c:strCache>
            </c:strRef>
          </c:tx>
          <c:spPr>
            <a:ln w="28575">
              <a:noFill/>
            </a:ln>
          </c:spPr>
          <c:xVal>
            <c:numRef>
              <c:f>Berechnungen!$A$7:$A$31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Berechnungen!$B$7:$B$31</c:f>
              <c:numCache>
                <c:formatCode>#,##0</c:formatCode>
                <c:ptCount val="25"/>
                <c:pt idx="0">
                  <c:v>3362.0701313648965</c:v>
                </c:pt>
                <c:pt idx="1">
                  <c:v>3362.0701313648965</c:v>
                </c:pt>
                <c:pt idx="2">
                  <c:v>3362.0701313648965</c:v>
                </c:pt>
                <c:pt idx="3">
                  <c:v>3362.0701313648965</c:v>
                </c:pt>
                <c:pt idx="4">
                  <c:v>3362.0701313648965</c:v>
                </c:pt>
                <c:pt idx="5">
                  <c:v>3362.0701313648965</c:v>
                </c:pt>
                <c:pt idx="6">
                  <c:v>3362.0701313648965</c:v>
                </c:pt>
                <c:pt idx="7">
                  <c:v>3362.0701313648965</c:v>
                </c:pt>
                <c:pt idx="8">
                  <c:v>3362.0701313648965</c:v>
                </c:pt>
                <c:pt idx="9">
                  <c:v>3362.0701313648965</c:v>
                </c:pt>
                <c:pt idx="10">
                  <c:v>3362.0701313648965</c:v>
                </c:pt>
                <c:pt idx="11">
                  <c:v>3362.0701313648965</c:v>
                </c:pt>
                <c:pt idx="12">
                  <c:v>3362.0701313648965</c:v>
                </c:pt>
                <c:pt idx="13">
                  <c:v>3362.0701313648965</c:v>
                </c:pt>
                <c:pt idx="14">
                  <c:v>3362.0701313648965</c:v>
                </c:pt>
                <c:pt idx="15">
                  <c:v>3362.0701313648965</c:v>
                </c:pt>
                <c:pt idx="16">
                  <c:v>3362.0701313648965</c:v>
                </c:pt>
                <c:pt idx="17">
                  <c:v>3362.0701313648965</c:v>
                </c:pt>
                <c:pt idx="18">
                  <c:v>3362.0701313648965</c:v>
                </c:pt>
                <c:pt idx="19">
                  <c:v>3362.0701313648965</c:v>
                </c:pt>
                <c:pt idx="20">
                  <c:v>455.84699244000001</c:v>
                </c:pt>
                <c:pt idx="21">
                  <c:v>455.84699244000001</c:v>
                </c:pt>
                <c:pt idx="22">
                  <c:v>455.84699244000001</c:v>
                </c:pt>
                <c:pt idx="23">
                  <c:v>455.84699244000001</c:v>
                </c:pt>
                <c:pt idx="24">
                  <c:v>455.84699244000001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Berechnungen!$C$6</c:f>
              <c:strCache>
                <c:ptCount val="1"/>
                <c:pt idx="0">
                  <c:v>Pelletheizung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Berechnungen!$A$7:$A$31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Berechnungen!$C$7:$C$31</c:f>
              <c:numCache>
                <c:formatCode>#,##0</c:formatCode>
                <c:ptCount val="25"/>
                <c:pt idx="0">
                  <c:v>5511.4580300405787</c:v>
                </c:pt>
                <c:pt idx="1">
                  <c:v>5511.4580300405787</c:v>
                </c:pt>
                <c:pt idx="2">
                  <c:v>5511.4580300405787</c:v>
                </c:pt>
                <c:pt idx="3">
                  <c:v>5511.4580300405787</c:v>
                </c:pt>
                <c:pt idx="4">
                  <c:v>5511.4580300405787</c:v>
                </c:pt>
                <c:pt idx="5">
                  <c:v>5511.4580300405787</c:v>
                </c:pt>
                <c:pt idx="6">
                  <c:v>5511.4580300405787</c:v>
                </c:pt>
                <c:pt idx="7">
                  <c:v>5511.4580300405787</c:v>
                </c:pt>
                <c:pt idx="8">
                  <c:v>5511.4580300405787</c:v>
                </c:pt>
                <c:pt idx="9">
                  <c:v>5511.4580300405787</c:v>
                </c:pt>
                <c:pt idx="10">
                  <c:v>5511.4580300405787</c:v>
                </c:pt>
                <c:pt idx="11">
                  <c:v>5511.4580300405787</c:v>
                </c:pt>
                <c:pt idx="12">
                  <c:v>5511.4580300405787</c:v>
                </c:pt>
                <c:pt idx="13">
                  <c:v>5511.4580300405787</c:v>
                </c:pt>
                <c:pt idx="14">
                  <c:v>5511.4580300405787</c:v>
                </c:pt>
                <c:pt idx="15">
                  <c:v>5511.4580300405787</c:v>
                </c:pt>
                <c:pt idx="16">
                  <c:v>5511.4580300405787</c:v>
                </c:pt>
                <c:pt idx="17">
                  <c:v>5511.4580300405787</c:v>
                </c:pt>
                <c:pt idx="18">
                  <c:v>5511.4580300405787</c:v>
                </c:pt>
                <c:pt idx="19">
                  <c:v>5511.4580300405787</c:v>
                </c:pt>
                <c:pt idx="20">
                  <c:v>368.82949957270597</c:v>
                </c:pt>
                <c:pt idx="21">
                  <c:v>368.82949957270597</c:v>
                </c:pt>
                <c:pt idx="22">
                  <c:v>368.82949957270597</c:v>
                </c:pt>
                <c:pt idx="23">
                  <c:v>368.82949957270597</c:v>
                </c:pt>
                <c:pt idx="24">
                  <c:v>368.82949957270597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Berechnungen!$D$6</c:f>
              <c:strCache>
                <c:ptCount val="1"/>
                <c:pt idx="0">
                  <c:v>Erdgas</c:v>
                </c:pt>
              </c:strCache>
            </c:strRef>
          </c:tx>
          <c:spPr>
            <a:ln w="28575">
              <a:noFill/>
            </a:ln>
          </c:spPr>
          <c:xVal>
            <c:numRef>
              <c:f>Berechnungen!$A$7:$A$31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Berechnungen!$D$7:$D$31</c:f>
              <c:numCache>
                <c:formatCode>#,##0</c:formatCode>
                <c:ptCount val="25"/>
                <c:pt idx="0">
                  <c:v>4320.9801062292727</c:v>
                </c:pt>
                <c:pt idx="1">
                  <c:v>4320.9801062292727</c:v>
                </c:pt>
                <c:pt idx="2">
                  <c:v>4320.9801062292727</c:v>
                </c:pt>
                <c:pt idx="3">
                  <c:v>4320.9801062292727</c:v>
                </c:pt>
                <c:pt idx="4">
                  <c:v>4320.9801062292727</c:v>
                </c:pt>
                <c:pt idx="5">
                  <c:v>4320.9801062292727</c:v>
                </c:pt>
                <c:pt idx="6">
                  <c:v>4320.9801062292727</c:v>
                </c:pt>
                <c:pt idx="7">
                  <c:v>4320.9801062292727</c:v>
                </c:pt>
                <c:pt idx="8">
                  <c:v>4320.9801062292727</c:v>
                </c:pt>
                <c:pt idx="9">
                  <c:v>4320.9801062292727</c:v>
                </c:pt>
                <c:pt idx="10">
                  <c:v>4320.9801062292727</c:v>
                </c:pt>
                <c:pt idx="11">
                  <c:v>4320.9801062292727</c:v>
                </c:pt>
                <c:pt idx="12">
                  <c:v>4320.9801062292727</c:v>
                </c:pt>
                <c:pt idx="13">
                  <c:v>4320.9801062292727</c:v>
                </c:pt>
                <c:pt idx="14">
                  <c:v>4320.9801062292727</c:v>
                </c:pt>
                <c:pt idx="15">
                  <c:v>4320.9801062292727</c:v>
                </c:pt>
                <c:pt idx="16">
                  <c:v>4320.9801062292727</c:v>
                </c:pt>
                <c:pt idx="17">
                  <c:v>4320.9801062292727</c:v>
                </c:pt>
                <c:pt idx="18">
                  <c:v>4320.9801062292727</c:v>
                </c:pt>
                <c:pt idx="19">
                  <c:v>4320.9801062292727</c:v>
                </c:pt>
                <c:pt idx="20">
                  <c:v>352.71631100631583</c:v>
                </c:pt>
                <c:pt idx="21">
                  <c:v>352.71631100631583</c:v>
                </c:pt>
                <c:pt idx="22">
                  <c:v>352.71631100631583</c:v>
                </c:pt>
                <c:pt idx="23">
                  <c:v>352.71631100631583</c:v>
                </c:pt>
                <c:pt idx="24">
                  <c:v>352.71631100631583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Berechnungen!$E$6</c:f>
              <c:strCache>
                <c:ptCount val="1"/>
                <c:pt idx="0">
                  <c:v>Erdöl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Berechnungen!$A$7:$A$31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Berechnungen!$E$7:$E$31</c:f>
              <c:numCache>
                <c:formatCode>#,##0</c:formatCode>
                <c:ptCount val="25"/>
                <c:pt idx="0">
                  <c:v>4985.1526831988776</c:v>
                </c:pt>
                <c:pt idx="1">
                  <c:v>4985.1526831988776</c:v>
                </c:pt>
                <c:pt idx="2">
                  <c:v>4985.1526831988776</c:v>
                </c:pt>
                <c:pt idx="3">
                  <c:v>4985.1526831988776</c:v>
                </c:pt>
                <c:pt idx="4">
                  <c:v>4985.1526831988776</c:v>
                </c:pt>
                <c:pt idx="5">
                  <c:v>4985.1526831988776</c:v>
                </c:pt>
                <c:pt idx="6">
                  <c:v>4985.1526831988776</c:v>
                </c:pt>
                <c:pt idx="7">
                  <c:v>4985.1526831988776</c:v>
                </c:pt>
                <c:pt idx="8">
                  <c:v>4985.1526831988776</c:v>
                </c:pt>
                <c:pt idx="9">
                  <c:v>4985.1526831988776</c:v>
                </c:pt>
                <c:pt idx="10">
                  <c:v>4985.1526831988776</c:v>
                </c:pt>
                <c:pt idx="11">
                  <c:v>4985.1526831988776</c:v>
                </c:pt>
                <c:pt idx="12">
                  <c:v>4985.1526831988776</c:v>
                </c:pt>
                <c:pt idx="13">
                  <c:v>4985.1526831988776</c:v>
                </c:pt>
                <c:pt idx="14">
                  <c:v>4985.1526831988776</c:v>
                </c:pt>
                <c:pt idx="15">
                  <c:v>4985.1526831988776</c:v>
                </c:pt>
                <c:pt idx="16">
                  <c:v>4985.1526831988776</c:v>
                </c:pt>
                <c:pt idx="17">
                  <c:v>4985.1526831988776</c:v>
                </c:pt>
                <c:pt idx="18">
                  <c:v>4985.1526831988776</c:v>
                </c:pt>
                <c:pt idx="19">
                  <c:v>4985.1526831988776</c:v>
                </c:pt>
                <c:pt idx="20">
                  <c:v>618.81161869803907</c:v>
                </c:pt>
                <c:pt idx="21">
                  <c:v>618.81161869803907</c:v>
                </c:pt>
                <c:pt idx="22">
                  <c:v>618.81161869803907</c:v>
                </c:pt>
                <c:pt idx="23">
                  <c:v>618.81161869803907</c:v>
                </c:pt>
                <c:pt idx="24">
                  <c:v>618.81161869803907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705488"/>
        <c:axId val="296706048"/>
      </c:scatterChart>
      <c:valAx>
        <c:axId val="296705488"/>
        <c:scaling>
          <c:orientation val="minMax"/>
          <c:max val="2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Jahre</a:t>
                </a:r>
              </a:p>
            </c:rich>
          </c:tx>
          <c:layout>
            <c:manualLayout>
              <c:xMode val="edge"/>
              <c:yMode val="edge"/>
              <c:x val="0.52545391980244116"/>
              <c:y val="0.93094157767096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6706048"/>
        <c:crosses val="autoZero"/>
        <c:crossBetween val="midCat"/>
        <c:majorUnit val="1"/>
      </c:valAx>
      <c:valAx>
        <c:axId val="2967060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Ortsdaten!$G$10</c:f>
              <c:strCache>
                <c:ptCount val="1"/>
                <c:pt idx="0">
                  <c:v>jährliche Wärmekosten [Fr. / a]</c:v>
                </c:pt>
              </c:strCache>
            </c:strRef>
          </c:tx>
          <c:layout>
            <c:manualLayout>
              <c:xMode val="edge"/>
              <c:yMode val="edge"/>
              <c:x val="2.4291507263391562E-2"/>
              <c:y val="0.1533324605208197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670548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62370031509556"/>
          <c:y val="2.4214312878348639E-3"/>
          <c:w val="0.69095898359748731"/>
          <c:h val="7.26391980099874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Energiekennzahl (EKZ)</a:t>
            </a:r>
          </a:p>
        </c:rich>
      </c:tx>
      <c:layout>
        <c:manualLayout>
          <c:xMode val="edge"/>
          <c:yMode val="edge"/>
          <c:x val="0.44937374763638416"/>
          <c:y val="0.18529442643199009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666721357738863E-2"/>
          <c:y val="0.1441178540295468"/>
          <c:w val="0.88037749965544621"/>
          <c:h val="0.6970598245918915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EKZ_Berechnung!$A$7</c:f>
              <c:strCache>
                <c:ptCount val="1"/>
                <c:pt idx="0">
                  <c:v>gew.EKZ Öl</c:v>
                </c:pt>
              </c:strCache>
            </c:strRef>
          </c:tx>
          <c:spPr>
            <a:solidFill>
              <a:srgbClr val="CDD8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EKZ_Berechnung!$D$7</c:f>
              <c:numCache>
                <c:formatCode>0.0</c:formatCode>
                <c:ptCount val="1"/>
                <c:pt idx="0">
                  <c:v>59.015917723286009</c:v>
                </c:pt>
              </c:numCache>
            </c:numRef>
          </c:val>
        </c:ser>
        <c:ser>
          <c:idx val="4"/>
          <c:order val="1"/>
          <c:tx>
            <c:strRef>
              <c:f>EKZ_Berechnung!$A$6</c:f>
              <c:strCache>
                <c:ptCount val="1"/>
                <c:pt idx="0">
                  <c:v>gew.EKZ Gas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EKZ_Berechnung!$D$6</c:f>
              <c:numCache>
                <c:formatCode>0.0</c:formatCode>
                <c:ptCount val="1"/>
                <c:pt idx="0">
                  <c:v>56.450008257056176</c:v>
                </c:pt>
              </c:numCache>
            </c:numRef>
          </c:val>
        </c:ser>
        <c:ser>
          <c:idx val="3"/>
          <c:order val="2"/>
          <c:tx>
            <c:strRef>
              <c:f>EKZ_Berechnung!$A$5</c:f>
              <c:strCache>
                <c:ptCount val="1"/>
                <c:pt idx="0">
                  <c:v>gew.EKZ Pellets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EKZ_Berechnung!$D$5</c:f>
              <c:numCache>
                <c:formatCode>0.0</c:formatCode>
                <c:ptCount val="1"/>
                <c:pt idx="0">
                  <c:v>30.549416233230403</c:v>
                </c:pt>
              </c:numCache>
            </c:numRef>
          </c:val>
        </c:ser>
        <c:ser>
          <c:idx val="2"/>
          <c:order val="3"/>
          <c:tx>
            <c:strRef>
              <c:f>EKZ_Berechnung!$A$4</c:f>
              <c:strCache>
                <c:ptCount val="1"/>
                <c:pt idx="0">
                  <c:v>gew.EKZ WP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EKZ_Berechnung!$D$4</c:f>
              <c:numCache>
                <c:formatCode>0.0</c:formatCode>
                <c:ptCount val="1"/>
                <c:pt idx="0">
                  <c:v>38.469635256660503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712768"/>
        <c:axId val="296713328"/>
      </c:barChart>
      <c:scatterChart>
        <c:scatterStyle val="lineMarker"/>
        <c:varyColors val="0"/>
        <c:ser>
          <c:idx val="7"/>
          <c:order val="4"/>
          <c:tx>
            <c:strRef>
              <c:f>EKZ_Berechnung!$A$9</c:f>
              <c:strCache>
                <c:ptCount val="1"/>
                <c:pt idx="0">
                  <c:v>Minergie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1.9</c:v>
              </c:pt>
            </c:numLit>
          </c:xVal>
          <c:yVal>
            <c:numRef>
              <c:f>EKZ_Berechnung!$D$9</c:f>
              <c:numCache>
                <c:formatCode>0.0</c:formatCode>
                <c:ptCount val="1"/>
                <c:pt idx="0">
                  <c:v>38</c:v>
                </c:pt>
              </c:numCache>
            </c:numRef>
          </c:yVal>
          <c:smooth val="0"/>
        </c:ser>
        <c:ser>
          <c:idx val="8"/>
          <c:order val="5"/>
          <c:tx>
            <c:strRef>
              <c:f>EKZ_Berechnung!$A$10</c:f>
              <c:strCache>
                <c:ptCount val="1"/>
                <c:pt idx="0">
                  <c:v>Minergie-P</c:v>
                </c:pt>
              </c:strCache>
            </c:strRef>
          </c:tx>
          <c:spPr>
            <a:ln w="3175">
              <a:solidFill>
                <a:srgbClr val="333399"/>
              </a:solidFill>
              <a:prstDash val="solid"/>
            </a:ln>
          </c:spPr>
          <c:marker>
            <c:symbol val="dash"/>
            <c:size val="1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1.9</c:v>
              </c:pt>
            </c:numLit>
          </c:xVal>
          <c:yVal>
            <c:numRef>
              <c:f>EKZ_Berechnung!$D$10</c:f>
              <c:numCache>
                <c:formatCode>0.0</c:formatCode>
                <c:ptCount val="1"/>
                <c:pt idx="0">
                  <c:v>30</c:v>
                </c:pt>
              </c:numCache>
            </c:numRef>
          </c:yVal>
          <c:smooth val="0"/>
        </c:ser>
        <c:ser>
          <c:idx val="9"/>
          <c:order val="6"/>
          <c:tx>
            <c:strRef>
              <c:f>EKZ_Berechnung!$A$11</c:f>
              <c:strCache>
                <c:ptCount val="1"/>
                <c:pt idx="0">
                  <c:v>Passivhaus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1.9</c:v>
              </c:pt>
            </c:numLit>
          </c:xVal>
          <c:yVal>
            <c:numRef>
              <c:f>EKZ_Berechnung!$D$11</c:f>
              <c:numCache>
                <c:formatCode>0.0</c:formatCode>
                <c:ptCount val="1"/>
                <c:pt idx="0">
                  <c:v>40.403999999999996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EKZ_Berechnung!$A$2</c:f>
              <c:strCache>
                <c:ptCount val="1"/>
                <c:pt idx="0">
                  <c:v>EKZ Gebäude</c:v>
                </c:pt>
              </c:strCache>
            </c:strRef>
          </c:tx>
          <c:marker>
            <c:symbol val="dash"/>
            <c:size val="1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1.5</c:v>
              </c:pt>
            </c:numLit>
          </c:xVal>
          <c:yVal>
            <c:numRef>
              <c:f>EKZ_Berechnung!$D$2</c:f>
              <c:numCache>
                <c:formatCode>0.0</c:formatCode>
                <c:ptCount val="1"/>
                <c:pt idx="0">
                  <c:v>51.934007596491682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712768"/>
        <c:axId val="296713328"/>
      </c:scatterChart>
      <c:catAx>
        <c:axId val="296712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96713328"/>
        <c:crosses val="autoZero"/>
        <c:auto val="1"/>
        <c:lblAlgn val="ctr"/>
        <c:lblOffset val="100"/>
        <c:noMultiLvlLbl val="0"/>
      </c:catAx>
      <c:valAx>
        <c:axId val="296713328"/>
        <c:scaling>
          <c:orientation val="minMax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kWh / m2 /a</a:t>
                </a:r>
              </a:p>
            </c:rich>
          </c:tx>
          <c:layout>
            <c:manualLayout>
              <c:xMode val="edge"/>
              <c:yMode val="edge"/>
              <c:x val="6.2724014336917565E-3"/>
              <c:y val="5.8823838196696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96712768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SolarGewinn!$C$56</c:f>
              <c:strCache>
                <c:ptCount val="1"/>
                <c:pt idx="0">
                  <c:v>SF</c:v>
                </c:pt>
              </c:strCache>
            </c:strRef>
          </c:tx>
          <c:xVal>
            <c:numRef>
              <c:f>SolarGewinn!$B$57:$B$61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30</c:v>
                </c:pt>
              </c:numCache>
            </c:numRef>
          </c:xVal>
          <c:yVal>
            <c:numRef>
              <c:f>SolarGewinn!$C$57:$C$61</c:f>
              <c:numCache>
                <c:formatCode>0%</c:formatCode>
                <c:ptCount val="5"/>
                <c:pt idx="0">
                  <c:v>0.216</c:v>
                </c:pt>
                <c:pt idx="1">
                  <c:v>0.36</c:v>
                </c:pt>
                <c:pt idx="2">
                  <c:v>0.48</c:v>
                </c:pt>
                <c:pt idx="3">
                  <c:v>0.55200000000000005</c:v>
                </c:pt>
                <c:pt idx="4">
                  <c:v>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77280"/>
        <c:axId val="586777840"/>
      </c:scatterChart>
      <c:valAx>
        <c:axId val="5867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86777840"/>
        <c:crosses val="autoZero"/>
        <c:crossBetween val="midCat"/>
      </c:valAx>
      <c:valAx>
        <c:axId val="5867778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867772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Style="combo" dx="22" fmlaLink="Ortsdaten!$H$1" fmlaRange="OrtsdatenSammlung!$A$44:$A$48" noThreeD="1" val="0"/>
</file>

<file path=xl/ctrlProps/ctrlProp10.xml><?xml version="1.0" encoding="utf-8"?>
<formControlPr xmlns="http://schemas.microsoft.com/office/spreadsheetml/2009/9/main" objectType="Drop" dropStyle="combo" dx="22" fmlaLink="$Q$6" fmlaRange="$R$3:$R$6" noThreeD="1" sel="2" val="0"/>
</file>

<file path=xl/ctrlProps/ctrlProp11.xml><?xml version="1.0" encoding="utf-8"?>
<formControlPr xmlns="http://schemas.microsoft.com/office/spreadsheetml/2009/9/main" objectType="Drop" dropStyle="combo" dx="22" fmlaLink="$O$5" fmlaRange="$P$5:$P$20" sel="11" val="4"/>
</file>

<file path=xl/ctrlProps/ctrlProp12.xml><?xml version="1.0" encoding="utf-8"?>
<formControlPr xmlns="http://schemas.microsoft.com/office/spreadsheetml/2009/9/main" objectType="Drop" dropStyle="combo" dx="22" fmlaLink="$O$6" fmlaRange="$P$5:$P$20" sel="11" val="6"/>
</file>

<file path=xl/ctrlProps/ctrlProp13.xml><?xml version="1.0" encoding="utf-8"?>
<formControlPr xmlns="http://schemas.microsoft.com/office/spreadsheetml/2009/9/main" objectType="Drop" dropStyle="combo" dx="22" fmlaLink="$O$8" fmlaRange="$P$10:$P$23" sel="14" val="6"/>
</file>

<file path=xl/ctrlProps/ctrlProp14.xml><?xml version="1.0" encoding="utf-8"?>
<formControlPr xmlns="http://schemas.microsoft.com/office/spreadsheetml/2009/9/main" objectType="Drop" dropStyle="combo" dx="22" fmlaLink="$O$9" fmlaRange="$R$5:$R$14" sel="10" val="2"/>
</file>

<file path=xl/ctrlProps/ctrlProp15.xml><?xml version="1.0" encoding="utf-8"?>
<formControlPr xmlns="http://schemas.microsoft.com/office/spreadsheetml/2009/9/main" objectType="Drop" dropStyle="combo" dx="22" fmlaLink="$O$7" fmlaRange="$P$5:$P$23" sel="19" val="11"/>
</file>

<file path=xl/ctrlProps/ctrlProp16.xml><?xml version="1.0" encoding="utf-8"?>
<formControlPr xmlns="http://schemas.microsoft.com/office/spreadsheetml/2009/9/main" objectType="Drop" dropStyle="combo" dx="22" fmlaLink="$O$10" fmlaRange="$R$14:$R$21" val="0"/>
</file>

<file path=xl/ctrlProps/ctrlProp17.xml><?xml version="1.0" encoding="utf-8"?>
<formControlPr xmlns="http://schemas.microsoft.com/office/spreadsheetml/2009/9/main" objectType="Drop" dropStyle="combo" dx="22" fmlaLink="$O$11" fmlaRange="$R$5:$R$17" sel="13" val="5"/>
</file>

<file path=xl/ctrlProps/ctrlProp18.xml><?xml version="1.0" encoding="utf-8"?>
<formControlPr xmlns="http://schemas.microsoft.com/office/spreadsheetml/2009/9/main" objectType="Drop" dropStyle="combo" dx="22" fmlaLink="$O$12" fmlaRange="$R$11:$R$21" sel="7" val="0"/>
</file>

<file path=xl/ctrlProps/ctrlProp2.xml><?xml version="1.0" encoding="utf-8"?>
<formControlPr xmlns="http://schemas.microsoft.com/office/spreadsheetml/2009/9/main" objectType="Drop" dropStyle="combo" dx="22" fmlaLink="Ergebnisse!$I$1" fmlaRange="Ergebnisse!$I$28:$I$33" noThreeD="1" val="0"/>
</file>

<file path=xl/ctrlProps/ctrlProp3.xml><?xml version="1.0" encoding="utf-8"?>
<formControlPr xmlns="http://schemas.microsoft.com/office/spreadsheetml/2009/9/main" objectType="Drop" dropStyle="combo" dx="22" fmlaLink="$Q$3" fmlaRange="$R$3:$R$6" noThreeD="1" sel="4" val="0"/>
</file>

<file path=xl/ctrlProps/ctrlProp4.xml><?xml version="1.0" encoding="utf-8"?>
<formControlPr xmlns="http://schemas.microsoft.com/office/spreadsheetml/2009/9/main" objectType="Drop" dropStyle="combo" dx="22" fmlaLink="$P$9" fmlaRange="$Q$9:$Q$12" noThreeD="1" sel="2" val="0"/>
</file>

<file path=xl/ctrlProps/ctrlProp5.xml><?xml version="1.0" encoding="utf-8"?>
<formControlPr xmlns="http://schemas.microsoft.com/office/spreadsheetml/2009/9/main" objectType="Drop" dropStyle="combo" dx="22" fmlaLink="Ergebnisse!$J$1" fmlaRange="Ergebnisse!$I$28:$I$33" noThreeD="1" sel="2" val="0"/>
</file>

<file path=xl/ctrlProps/ctrlProp6.xml><?xml version="1.0" encoding="utf-8"?>
<formControlPr xmlns="http://schemas.microsoft.com/office/spreadsheetml/2009/9/main" objectType="Drop" dropStyle="combo" dx="22" fmlaLink="$Q$4" fmlaRange="$R$3:$R$6" noThreeD="1" val="0"/>
</file>

<file path=xl/ctrlProps/ctrlProp7.xml><?xml version="1.0" encoding="utf-8"?>
<formControlPr xmlns="http://schemas.microsoft.com/office/spreadsheetml/2009/9/main" objectType="Drop" dropStyle="combo" dx="22" fmlaLink="Ergebnisse!$K$1" fmlaRange="Ergebnisse!$I$28:$I$33" noThreeD="1" sel="3" val="0"/>
</file>

<file path=xl/ctrlProps/ctrlProp8.xml><?xml version="1.0" encoding="utf-8"?>
<formControlPr xmlns="http://schemas.microsoft.com/office/spreadsheetml/2009/9/main" objectType="Drop" dropStyle="combo" dx="22" fmlaLink="$Q$5" fmlaRange="$R$3:$R$6" noThreeD="1" sel="3" val="0"/>
</file>

<file path=xl/ctrlProps/ctrlProp9.xml><?xml version="1.0" encoding="utf-8"?>
<formControlPr xmlns="http://schemas.microsoft.com/office/spreadsheetml/2009/9/main" objectType="Drop" dropStyle="combo" dx="22" fmlaLink="Ergebnisse!$L$1" fmlaRange="Ergebnisse!$I$28:$I$33" noThreeD="1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29</xdr:row>
      <xdr:rowOff>123825</xdr:rowOff>
    </xdr:from>
    <xdr:to>
      <xdr:col>11</xdr:col>
      <xdr:colOff>1133475</xdr:colOff>
      <xdr:row>47</xdr:row>
      <xdr:rowOff>0</xdr:rowOff>
    </xdr:to>
    <xdr:graphicFrame macro="">
      <xdr:nvGraphicFramePr>
        <xdr:cNvPr id="64438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13</xdr:row>
      <xdr:rowOff>66675</xdr:rowOff>
    </xdr:from>
    <xdr:to>
      <xdr:col>3</xdr:col>
      <xdr:colOff>1019175</xdr:colOff>
      <xdr:row>29</xdr:row>
      <xdr:rowOff>95250</xdr:rowOff>
    </xdr:to>
    <xdr:graphicFrame macro="">
      <xdr:nvGraphicFramePr>
        <xdr:cNvPr id="644384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10</xdr:row>
      <xdr:rowOff>28575</xdr:rowOff>
    </xdr:from>
    <xdr:to>
      <xdr:col>12</xdr:col>
      <xdr:colOff>0</xdr:colOff>
      <xdr:row>29</xdr:row>
      <xdr:rowOff>104775</xdr:rowOff>
    </xdr:to>
    <xdr:graphicFrame macro="">
      <xdr:nvGraphicFramePr>
        <xdr:cNvPr id="64438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29</xdr:row>
      <xdr:rowOff>57150</xdr:rowOff>
    </xdr:from>
    <xdr:to>
      <xdr:col>3</xdr:col>
      <xdr:colOff>1019175</xdr:colOff>
      <xdr:row>46</xdr:row>
      <xdr:rowOff>133350</xdr:rowOff>
    </xdr:to>
    <xdr:graphicFrame macro="">
      <xdr:nvGraphicFramePr>
        <xdr:cNvPr id="644386" name="Chart 10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285750</xdr:rowOff>
        </xdr:from>
        <xdr:to>
          <xdr:col>2</xdr:col>
          <xdr:colOff>323850</xdr:colOff>
          <xdr:row>2</xdr:row>
          <xdr:rowOff>0</xdr:rowOff>
        </xdr:to>
        <xdr:sp macro="" textlink="">
          <xdr:nvSpPr>
            <xdr:cNvPr id="1232" name="Drop Dow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19050</xdr:rowOff>
        </xdr:from>
        <xdr:to>
          <xdr:col>5</xdr:col>
          <xdr:colOff>790575</xdr:colOff>
          <xdr:row>2</xdr:row>
          <xdr:rowOff>28575</xdr:rowOff>
        </xdr:to>
        <xdr:sp macro="" textlink="">
          <xdr:nvSpPr>
            <xdr:cNvPr id="1467" name="Drop Down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28575</xdr:rowOff>
        </xdr:from>
        <xdr:to>
          <xdr:col>5</xdr:col>
          <xdr:colOff>781050</xdr:colOff>
          <xdr:row>3</xdr:row>
          <xdr:rowOff>0</xdr:rowOff>
        </xdr:to>
        <xdr:sp macro="" textlink="">
          <xdr:nvSpPr>
            <xdr:cNvPr id="1471" name="Drop Down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295275</xdr:colOff>
          <xdr:row>13</xdr:row>
          <xdr:rowOff>38100</xdr:rowOff>
        </xdr:to>
        <xdr:sp macro="" textlink="">
          <xdr:nvSpPr>
            <xdr:cNvPr id="1503" name="Drop Down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19050</xdr:rowOff>
        </xdr:from>
        <xdr:to>
          <xdr:col>7</xdr:col>
          <xdr:colOff>771525</xdr:colOff>
          <xdr:row>2</xdr:row>
          <xdr:rowOff>28575</xdr:rowOff>
        </xdr:to>
        <xdr:sp macro="" textlink="">
          <xdr:nvSpPr>
            <xdr:cNvPr id="1564" name="Drop Down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</xdr:row>
          <xdr:rowOff>28575</xdr:rowOff>
        </xdr:from>
        <xdr:to>
          <xdr:col>7</xdr:col>
          <xdr:colOff>771525</xdr:colOff>
          <xdr:row>3</xdr:row>
          <xdr:rowOff>0</xdr:rowOff>
        </xdr:to>
        <xdr:sp macro="" textlink="">
          <xdr:nvSpPr>
            <xdr:cNvPr id="1565" name="Drop Down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19050</xdr:rowOff>
        </xdr:from>
        <xdr:to>
          <xdr:col>9</xdr:col>
          <xdr:colOff>752475</xdr:colOff>
          <xdr:row>2</xdr:row>
          <xdr:rowOff>28575</xdr:rowOff>
        </xdr:to>
        <xdr:sp macro="" textlink="">
          <xdr:nvSpPr>
            <xdr:cNvPr id="1567" name="Drop Down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</xdr:row>
          <xdr:rowOff>28575</xdr:rowOff>
        </xdr:from>
        <xdr:to>
          <xdr:col>9</xdr:col>
          <xdr:colOff>752475</xdr:colOff>
          <xdr:row>3</xdr:row>
          <xdr:rowOff>0</xdr:rowOff>
        </xdr:to>
        <xdr:sp macro="" textlink="">
          <xdr:nvSpPr>
            <xdr:cNvPr id="1568" name="Drop Down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19050</xdr:rowOff>
        </xdr:from>
        <xdr:to>
          <xdr:col>11</xdr:col>
          <xdr:colOff>752475</xdr:colOff>
          <xdr:row>2</xdr:row>
          <xdr:rowOff>28575</xdr:rowOff>
        </xdr:to>
        <xdr:sp macro="" textlink="">
          <xdr:nvSpPr>
            <xdr:cNvPr id="1570" name="Drop Down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</xdr:row>
          <xdr:rowOff>28575</xdr:rowOff>
        </xdr:from>
        <xdr:to>
          <xdr:col>11</xdr:col>
          <xdr:colOff>752475</xdr:colOff>
          <xdr:row>3</xdr:row>
          <xdr:rowOff>0</xdr:rowOff>
        </xdr:to>
        <xdr:sp macro="" textlink="">
          <xdr:nvSpPr>
            <xdr:cNvPr id="1571" name="Drop Down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161925</xdr:rowOff>
    </xdr:from>
    <xdr:to>
      <xdr:col>6</xdr:col>
      <xdr:colOff>161925</xdr:colOff>
      <xdr:row>51</xdr:row>
      <xdr:rowOff>114300</xdr:rowOff>
    </xdr:to>
    <xdr:graphicFrame macro="">
      <xdr:nvGraphicFramePr>
        <xdr:cNvPr id="90218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85725</xdr:rowOff>
    </xdr:from>
    <xdr:to>
      <xdr:col>5</xdr:col>
      <xdr:colOff>1038225</xdr:colOff>
      <xdr:row>45</xdr:row>
      <xdr:rowOff>85725</xdr:rowOff>
    </xdr:to>
    <xdr:graphicFrame macro="">
      <xdr:nvGraphicFramePr>
        <xdr:cNvPr id="2100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2066925</xdr:colOff>
          <xdr:row>4</xdr:row>
          <xdr:rowOff>142875</xdr:rowOff>
        </xdr:from>
        <xdr:to>
          <xdr:col>5</xdr:col>
          <xdr:colOff>9525</xdr:colOff>
          <xdr:row>6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0</xdr:rowOff>
        </xdr:from>
        <xdr:to>
          <xdr:col>5</xdr:col>
          <xdr:colOff>9525</xdr:colOff>
          <xdr:row>9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142875</xdr:rowOff>
        </xdr:from>
        <xdr:to>
          <xdr:col>2</xdr:col>
          <xdr:colOff>9525</xdr:colOff>
          <xdr:row>16</xdr:row>
          <xdr:rowOff>161925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142875</xdr:rowOff>
        </xdr:from>
        <xdr:to>
          <xdr:col>4</xdr:col>
          <xdr:colOff>752475</xdr:colOff>
          <xdr:row>20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1562100</xdr:colOff>
          <xdr:row>12</xdr:row>
          <xdr:rowOff>142875</xdr:rowOff>
        </xdr:from>
        <xdr:to>
          <xdr:col>1</xdr:col>
          <xdr:colOff>257175</xdr:colOff>
          <xdr:row>14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2066925</xdr:colOff>
          <xdr:row>22</xdr:row>
          <xdr:rowOff>133350</xdr:rowOff>
        </xdr:from>
        <xdr:to>
          <xdr:col>5</xdr:col>
          <xdr:colOff>0</xdr:colOff>
          <xdr:row>23</xdr:row>
          <xdr:rowOff>171450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1552575</xdr:colOff>
          <xdr:row>18</xdr:row>
          <xdr:rowOff>133350</xdr:rowOff>
        </xdr:from>
        <xdr:to>
          <xdr:col>1</xdr:col>
          <xdr:colOff>257175</xdr:colOff>
          <xdr:row>19</xdr:row>
          <xdr:rowOff>171450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1571625</xdr:colOff>
          <xdr:row>22</xdr:row>
          <xdr:rowOff>133350</xdr:rowOff>
        </xdr:from>
        <xdr:to>
          <xdr:col>1</xdr:col>
          <xdr:colOff>266700</xdr:colOff>
          <xdr:row>23</xdr:row>
          <xdr:rowOff>171450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54</xdr:row>
      <xdr:rowOff>19050</xdr:rowOff>
    </xdr:from>
    <xdr:to>
      <xdr:col>6</xdr:col>
      <xdr:colOff>476250</xdr:colOff>
      <xdr:row>63</xdr:row>
      <xdr:rowOff>47625</xdr:rowOff>
    </xdr:to>
    <xdr:graphicFrame macro="">
      <xdr:nvGraphicFramePr>
        <xdr:cNvPr id="905256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tb.ch/ies" TargetMode="External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markus.markstaler@ntb.ch" TargetMode="External"/><Relationship Id="rId4" Type="http://schemas.openxmlformats.org/officeDocument/2006/relationships/hyperlink" Target="mailto:michael.eschmann@ntb.ch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printerSettings" Target="../printerSettings/printerSettings9.bin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5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V88"/>
  <sheetViews>
    <sheetView showGridLines="0" showRowColHeaders="0" tabSelected="1" zoomScaleNormal="100" zoomScalePageLayoutView="60" workbookViewId="0">
      <selection activeCell="W25" sqref="W25"/>
    </sheetView>
  </sheetViews>
  <sheetFormatPr baseColWidth="10" defaultRowHeight="12.75" x14ac:dyDescent="0.2"/>
  <cols>
    <col min="1" max="1" width="22" style="21" customWidth="1"/>
    <col min="2" max="2" width="11.42578125" style="22"/>
    <col min="3" max="3" width="11.42578125" style="21" customWidth="1"/>
    <col min="4" max="4" width="19.28515625" style="21" customWidth="1"/>
    <col min="5" max="5" width="8.140625" style="22" customWidth="1"/>
    <col min="6" max="6" width="15.42578125" style="22" customWidth="1"/>
    <col min="7" max="7" width="8.42578125" style="22" customWidth="1"/>
    <col min="8" max="8" width="15.7109375" style="22" customWidth="1"/>
    <col min="9" max="9" width="8.7109375" style="21" customWidth="1"/>
    <col min="10" max="10" width="15.42578125" style="21" customWidth="1"/>
    <col min="11" max="11" width="8.7109375" style="21" customWidth="1"/>
    <col min="12" max="12" width="16.85546875" style="21" customWidth="1"/>
    <col min="13" max="13" width="11.28515625" style="21" customWidth="1"/>
    <col min="14" max="14" width="9.5703125" style="21" customWidth="1"/>
    <col min="15" max="15" width="11.42578125" style="21" hidden="1" customWidth="1"/>
    <col min="16" max="16" width="9.42578125" style="21" hidden="1" customWidth="1"/>
    <col min="17" max="17" width="11.42578125" style="21" hidden="1" customWidth="1"/>
    <col min="18" max="18" width="11.5703125" style="21" hidden="1" customWidth="1"/>
    <col min="19" max="19" width="10.140625" style="21" hidden="1" customWidth="1"/>
    <col min="20" max="20" width="19.85546875" style="21" hidden="1" customWidth="1"/>
    <col min="21" max="22" width="11.140625" style="21" hidden="1" customWidth="1"/>
    <col min="23" max="23" width="8.42578125" style="21" customWidth="1"/>
    <col min="24" max="16384" width="11.42578125" style="21"/>
  </cols>
  <sheetData>
    <row r="1" spans="1:21" ht="23.25" x14ac:dyDescent="0.25">
      <c r="A1" s="20" t="s">
        <v>269</v>
      </c>
      <c r="B1" s="222" t="str">
        <f>IF(Ortsdaten!H2,"Förderung eingeben/Klimadaten unter 'Ortsdaten' prüfen","")</f>
        <v/>
      </c>
      <c r="D1" s="23"/>
      <c r="E1" s="237" t="s">
        <v>171</v>
      </c>
      <c r="F1" s="237"/>
      <c r="G1" s="238" t="s">
        <v>172</v>
      </c>
      <c r="H1" s="238"/>
      <c r="I1" s="239" t="s">
        <v>173</v>
      </c>
      <c r="J1" s="239"/>
      <c r="K1" s="240" t="s">
        <v>174</v>
      </c>
      <c r="L1" s="240"/>
    </row>
    <row r="2" spans="1:21" ht="15" customHeight="1" x14ac:dyDescent="0.2">
      <c r="A2" s="21" t="s">
        <v>158</v>
      </c>
      <c r="B2" s="64"/>
      <c r="D2" s="24"/>
      <c r="E2" s="25"/>
      <c r="G2" s="25"/>
      <c r="I2" s="25"/>
      <c r="J2" s="22"/>
      <c r="K2" s="25"/>
      <c r="L2" s="22"/>
      <c r="P2" s="169" t="s">
        <v>190</v>
      </c>
      <c r="Q2" s="169" t="s">
        <v>191</v>
      </c>
      <c r="R2" s="169" t="s">
        <v>192</v>
      </c>
      <c r="S2" s="64"/>
      <c r="T2" s="64"/>
      <c r="U2" s="64"/>
    </row>
    <row r="3" spans="1:21" ht="18" customHeight="1" x14ac:dyDescent="0.2">
      <c r="A3" s="21" t="s">
        <v>455</v>
      </c>
      <c r="B3" s="165">
        <v>40</v>
      </c>
      <c r="C3" s="21" t="s">
        <v>34</v>
      </c>
      <c r="D3" s="21" t="s">
        <v>70</v>
      </c>
      <c r="E3" s="84">
        <v>0.17</v>
      </c>
      <c r="G3" s="84">
        <v>150</v>
      </c>
      <c r="I3" s="84">
        <v>1.1000000000000001</v>
      </c>
      <c r="J3" s="22"/>
      <c r="K3" s="84">
        <v>80</v>
      </c>
      <c r="L3" s="22"/>
      <c r="P3" s="169">
        <v>1</v>
      </c>
      <c r="Q3" s="169">
        <v>4</v>
      </c>
      <c r="R3" s="169" t="str">
        <f>Ortsdaten!G4</f>
        <v>Fr. / t</v>
      </c>
      <c r="S3" s="64"/>
      <c r="T3" s="64"/>
      <c r="U3" s="64"/>
    </row>
    <row r="4" spans="1:21" ht="12.75" customHeight="1" x14ac:dyDescent="0.2">
      <c r="A4" s="27" t="s">
        <v>33</v>
      </c>
      <c r="B4" s="165">
        <v>2.4</v>
      </c>
      <c r="C4" s="27" t="s">
        <v>34</v>
      </c>
      <c r="E4" s="104">
        <f>IF(Q3=1,Parameter!D47,IF(Q3=2,Parameter!D48,IF(Q3=3,Parameter!D49,1)))*E3</f>
        <v>0.17</v>
      </c>
      <c r="F4" s="26" t="str">
        <f>Ortsdaten!$G$7</f>
        <v>Fr. / kWh</v>
      </c>
      <c r="G4" s="104">
        <f>IF(Q4=1,Parameter!D47,IF(Q4=2,Parameter!D48,IF(Q4=3,Parameter!D49,1)))*G3</f>
        <v>3.0000000000000002E-2</v>
      </c>
      <c r="H4" s="26" t="str">
        <f>Ortsdaten!$G$7</f>
        <v>Fr. / kWh</v>
      </c>
      <c r="I4" s="104">
        <f>IF(Q5=1,Parameter!D47,IF(Q5=2,Parameter!D48,IF(Q5=3,Parameter!D49,1)))*I3</f>
        <v>0.1</v>
      </c>
      <c r="J4" s="26" t="str">
        <f>Ortsdaten!$G$7</f>
        <v>Fr. / kWh</v>
      </c>
      <c r="K4" s="104">
        <f>IF(Q6=1,Parameter!D47,IF(Q6=2,Parameter!D48,IF(Q6=3,Parameter!D49,1)))*K3</f>
        <v>7.8431372549019607E-2</v>
      </c>
      <c r="L4" s="26" t="str">
        <f>Ortsdaten!$G$7</f>
        <v>Fr. / kWh</v>
      </c>
      <c r="P4" s="169">
        <v>2</v>
      </c>
      <c r="Q4" s="169">
        <v>1</v>
      </c>
      <c r="R4" s="169" t="str">
        <f>Ortsdaten!G5</f>
        <v>Fr. / 100 l</v>
      </c>
      <c r="S4" s="64"/>
      <c r="T4" s="64"/>
      <c r="U4" s="64"/>
    </row>
    <row r="5" spans="1:21" ht="12.75" customHeight="1" x14ac:dyDescent="0.2">
      <c r="A5" s="21" t="s">
        <v>167</v>
      </c>
      <c r="B5" s="83">
        <v>2</v>
      </c>
      <c r="D5" s="21" t="str">
        <f>R9</f>
        <v>Modulfläche</v>
      </c>
      <c r="E5" s="168">
        <v>30.2</v>
      </c>
      <c r="F5" s="21" t="str">
        <f>T9</f>
        <v>m2</v>
      </c>
      <c r="G5" s="84">
        <v>59.4</v>
      </c>
      <c r="H5" s="21" t="str">
        <f>F5</f>
        <v>m2</v>
      </c>
      <c r="I5" s="84">
        <v>53.8</v>
      </c>
      <c r="J5" s="21" t="str">
        <f>H5</f>
        <v>m2</v>
      </c>
      <c r="K5" s="84">
        <v>56.4</v>
      </c>
      <c r="L5" s="21" t="str">
        <f>J5</f>
        <v>m2</v>
      </c>
      <c r="P5" s="169">
        <v>3</v>
      </c>
      <c r="Q5" s="169">
        <v>3</v>
      </c>
      <c r="R5" s="169" t="str">
        <f>Ortsdaten!G6</f>
        <v>Fr. / m3 Gas</v>
      </c>
      <c r="S5" s="64"/>
      <c r="T5" s="64"/>
      <c r="U5" s="64"/>
    </row>
    <row r="6" spans="1:21" ht="12.75" customHeight="1" x14ac:dyDescent="0.2">
      <c r="A6" s="164" t="s">
        <v>0</v>
      </c>
      <c r="B6" s="83">
        <v>150</v>
      </c>
      <c r="C6" s="164" t="s">
        <v>1</v>
      </c>
      <c r="D6" s="28" t="str">
        <f>S9</f>
        <v>Modulneigung</v>
      </c>
      <c r="E6" s="84">
        <v>35</v>
      </c>
      <c r="F6" s="21" t="str">
        <f>U9</f>
        <v>°</v>
      </c>
      <c r="G6" s="84">
        <v>35</v>
      </c>
      <c r="H6" s="28" t="str">
        <f>F6</f>
        <v>°</v>
      </c>
      <c r="I6" s="84">
        <v>35</v>
      </c>
      <c r="J6" s="28" t="str">
        <f>H6</f>
        <v>°</v>
      </c>
      <c r="K6" s="84">
        <v>35</v>
      </c>
      <c r="L6" s="28" t="str">
        <f>J6</f>
        <v>°</v>
      </c>
      <c r="P6" s="169">
        <v>4</v>
      </c>
      <c r="Q6" s="169">
        <v>2</v>
      </c>
      <c r="R6" s="169" t="str">
        <f>Ortsdaten!G7</f>
        <v>Fr. / kWh</v>
      </c>
      <c r="S6" s="64"/>
      <c r="T6" s="64"/>
      <c r="U6" s="64"/>
    </row>
    <row r="7" spans="1:21" ht="12.75" customHeight="1" x14ac:dyDescent="0.2">
      <c r="C7" s="27"/>
      <c r="D7" s="21" t="s">
        <v>326</v>
      </c>
      <c r="E7" s="29">
        <f>SolarGewinn!B28</f>
        <v>4.2280000000000006</v>
      </c>
      <c r="F7" s="30" t="s">
        <v>153</v>
      </c>
      <c r="G7" s="29">
        <f>SolarGewinn!C28</f>
        <v>8.3160000000000007</v>
      </c>
      <c r="H7" s="30" t="s">
        <v>153</v>
      </c>
      <c r="I7" s="29">
        <f>SolarGewinn!D28</f>
        <v>7.532</v>
      </c>
      <c r="J7" s="30" t="s">
        <v>153</v>
      </c>
      <c r="K7" s="29">
        <f>SolarGewinn!E28</f>
        <v>7.8960000000000008</v>
      </c>
      <c r="L7" s="21" t="s">
        <v>153</v>
      </c>
      <c r="P7" s="64"/>
      <c r="Q7" s="64"/>
      <c r="R7" s="64"/>
      <c r="S7" s="64"/>
      <c r="T7" s="64"/>
      <c r="U7" s="64"/>
    </row>
    <row r="8" spans="1:21" ht="12.75" customHeight="1" x14ac:dyDescent="0.2">
      <c r="A8" s="21" t="s">
        <v>76</v>
      </c>
      <c r="B8" s="84">
        <v>4</v>
      </c>
      <c r="D8" s="21" t="s">
        <v>325</v>
      </c>
      <c r="E8" s="86">
        <v>0</v>
      </c>
      <c r="F8" s="28" t="s">
        <v>225</v>
      </c>
      <c r="G8" s="86">
        <v>15</v>
      </c>
      <c r="H8" s="28" t="s">
        <v>225</v>
      </c>
      <c r="I8" s="86">
        <v>15</v>
      </c>
      <c r="J8" s="28" t="s">
        <v>225</v>
      </c>
      <c r="K8" s="86">
        <v>15</v>
      </c>
      <c r="L8" s="28" t="s">
        <v>225</v>
      </c>
      <c r="P8" s="169" t="s">
        <v>191</v>
      </c>
      <c r="Q8" s="169" t="s">
        <v>192</v>
      </c>
      <c r="R8" s="169" t="s">
        <v>327</v>
      </c>
      <c r="S8" s="169" t="s">
        <v>328</v>
      </c>
      <c r="T8" s="169" t="s">
        <v>329</v>
      </c>
      <c r="U8" s="169" t="s">
        <v>330</v>
      </c>
    </row>
    <row r="9" spans="1:21" ht="12.75" customHeight="1" x14ac:dyDescent="0.2">
      <c r="A9" s="21" t="s">
        <v>152</v>
      </c>
      <c r="B9" s="84">
        <v>20</v>
      </c>
      <c r="C9" s="21" t="s">
        <v>2</v>
      </c>
      <c r="D9" s="21" t="s">
        <v>324</v>
      </c>
      <c r="E9" s="86">
        <v>60</v>
      </c>
      <c r="F9" s="28" t="s">
        <v>196</v>
      </c>
      <c r="G9" s="86">
        <v>60</v>
      </c>
      <c r="H9" s="28" t="s">
        <v>196</v>
      </c>
      <c r="I9" s="86">
        <v>60</v>
      </c>
      <c r="J9" s="28" t="s">
        <v>196</v>
      </c>
      <c r="K9" s="86">
        <v>60</v>
      </c>
      <c r="L9" s="28" t="s">
        <v>196</v>
      </c>
      <c r="P9" s="169">
        <v>2</v>
      </c>
      <c r="Q9" s="169" t="s">
        <v>193</v>
      </c>
      <c r="R9" s="169" t="str">
        <f>IF($P9=1,"PV-Leistung",IF($P9=2, "Modulfläche",IF($P9=3, "Flachdachbreite", "Dachfläche")))</f>
        <v>Modulfläche</v>
      </c>
      <c r="S9" s="169" t="str">
        <f>IF($P9=1,"Modulneigung",IF($P9=2, "Modulneigung",IF($P9=3, "Flachdachlänge", "Dachneigung")))</f>
        <v>Modulneigung</v>
      </c>
      <c r="T9" s="169" t="str">
        <f>IF($P9=1,"kWpeak",IF($P9=2, "m2",IF($P9=3, "m", "m2")))</f>
        <v>m2</v>
      </c>
      <c r="U9" s="169" t="str">
        <f>IF($P9=1,"°",IF($P9=2, "°",IF($P9=3, "m", "°")))</f>
        <v>°</v>
      </c>
    </row>
    <row r="10" spans="1:21" ht="12.75" customHeight="1" x14ac:dyDescent="0.2">
      <c r="A10" s="21" t="s">
        <v>71</v>
      </c>
      <c r="B10" s="84">
        <v>20</v>
      </c>
      <c r="C10" s="21" t="s">
        <v>67</v>
      </c>
      <c r="P10" s="64"/>
      <c r="Q10" s="169" t="s">
        <v>194</v>
      </c>
      <c r="R10" s="64"/>
      <c r="S10" s="64"/>
      <c r="T10" s="64"/>
      <c r="U10" s="64"/>
    </row>
    <row r="11" spans="1:21" ht="12.75" customHeight="1" x14ac:dyDescent="0.2">
      <c r="A11" s="21" t="s">
        <v>72</v>
      </c>
      <c r="B11" s="85">
        <v>0.04</v>
      </c>
      <c r="P11" s="64"/>
      <c r="Q11" s="169" t="s">
        <v>213</v>
      </c>
      <c r="R11" s="64"/>
      <c r="S11" s="64"/>
      <c r="T11" s="64"/>
      <c r="U11" s="64"/>
    </row>
    <row r="12" spans="1:21" ht="15" customHeight="1" x14ac:dyDescent="0.2">
      <c r="A12" s="21" t="s">
        <v>323</v>
      </c>
      <c r="B12" s="84">
        <v>0</v>
      </c>
      <c r="C12" s="28" t="s">
        <v>196</v>
      </c>
      <c r="P12" s="64"/>
      <c r="Q12" s="169" t="s">
        <v>214</v>
      </c>
      <c r="R12" s="64"/>
      <c r="S12" s="64"/>
      <c r="T12" s="64"/>
      <c r="U12" s="64"/>
    </row>
    <row r="13" spans="1:21" ht="12.75" customHeight="1" x14ac:dyDescent="0.2">
      <c r="A13" s="21" t="s">
        <v>322</v>
      </c>
      <c r="B13" s="167"/>
    </row>
    <row r="14" spans="1:21" ht="12.75" customHeight="1" x14ac:dyDescent="0.2">
      <c r="E14" s="29"/>
      <c r="F14" s="30"/>
      <c r="G14" s="29"/>
      <c r="H14" s="30"/>
      <c r="I14" s="29"/>
      <c r="J14" s="30"/>
      <c r="K14" s="29"/>
    </row>
    <row r="15" spans="1:21" ht="12.75" customHeight="1" x14ac:dyDescent="0.2">
      <c r="E15" s="29"/>
      <c r="F15" s="30"/>
      <c r="G15" s="29"/>
      <c r="H15" s="30"/>
      <c r="I15" s="29"/>
      <c r="J15" s="30"/>
      <c r="K15" s="29"/>
      <c r="P15" s="21" t="s">
        <v>472</v>
      </c>
    </row>
    <row r="16" spans="1:21" ht="12.75" customHeight="1" x14ac:dyDescent="0.2">
      <c r="B16" s="21"/>
      <c r="E16" s="29"/>
      <c r="F16" s="30"/>
      <c r="G16" s="29"/>
      <c r="H16" s="30"/>
      <c r="I16" s="29"/>
      <c r="J16" s="30"/>
      <c r="K16" s="29"/>
    </row>
    <row r="17" spans="2:11" ht="12.75" customHeight="1" x14ac:dyDescent="0.2">
      <c r="B17" s="21"/>
      <c r="G17" s="21"/>
      <c r="H17" s="21"/>
    </row>
    <row r="18" spans="2:11" ht="12.75" customHeight="1" x14ac:dyDescent="0.2">
      <c r="B18" s="21"/>
      <c r="E18" s="21"/>
      <c r="F18" s="21"/>
      <c r="G18" s="21"/>
      <c r="H18" s="21"/>
    </row>
    <row r="19" spans="2:11" ht="12.75" customHeight="1" x14ac:dyDescent="0.2">
      <c r="I19" s="22"/>
      <c r="K19" s="22"/>
    </row>
    <row r="21" spans="2:11" s="31" customFormat="1" x14ac:dyDescent="0.2">
      <c r="E21" s="32"/>
      <c r="F21" s="32"/>
      <c r="G21" s="32"/>
      <c r="H21" s="32"/>
    </row>
    <row r="22" spans="2:11" s="31" customFormat="1" x14ac:dyDescent="0.2">
      <c r="B22" s="32"/>
      <c r="E22" s="32"/>
      <c r="F22" s="32"/>
      <c r="G22" s="32"/>
      <c r="H22" s="32"/>
    </row>
    <row r="23" spans="2:11" s="31" customFormat="1" x14ac:dyDescent="0.2">
      <c r="B23" s="32"/>
      <c r="E23" s="32"/>
      <c r="F23" s="32"/>
      <c r="G23" s="32"/>
      <c r="H23" s="32"/>
    </row>
    <row r="24" spans="2:11" s="31" customFormat="1" x14ac:dyDescent="0.2">
      <c r="B24" s="32"/>
      <c r="E24" s="32"/>
      <c r="F24" s="32"/>
      <c r="G24" s="32"/>
      <c r="H24" s="32"/>
    </row>
    <row r="25" spans="2:11" s="31" customFormat="1" x14ac:dyDescent="0.2">
      <c r="B25" s="32"/>
      <c r="E25" s="32"/>
      <c r="F25" s="32"/>
      <c r="G25" s="32"/>
      <c r="H25" s="32"/>
    </row>
    <row r="26" spans="2:11" s="31" customFormat="1" x14ac:dyDescent="0.2">
      <c r="B26" s="32"/>
      <c r="E26" s="32"/>
      <c r="F26" s="32"/>
      <c r="G26" s="32"/>
      <c r="H26" s="32"/>
    </row>
    <row r="27" spans="2:11" s="31" customFormat="1" x14ac:dyDescent="0.2">
      <c r="B27" s="32"/>
      <c r="E27" s="32"/>
      <c r="F27" s="32"/>
      <c r="G27" s="32"/>
      <c r="H27" s="32"/>
    </row>
    <row r="28" spans="2:11" s="31" customFormat="1" x14ac:dyDescent="0.2">
      <c r="B28" s="32"/>
      <c r="E28" s="32"/>
      <c r="F28" s="32"/>
      <c r="G28" s="32"/>
      <c r="H28" s="32"/>
    </row>
    <row r="29" spans="2:11" s="31" customFormat="1" x14ac:dyDescent="0.2">
      <c r="B29" s="32"/>
      <c r="E29" s="32"/>
      <c r="F29" s="32"/>
      <c r="G29" s="32"/>
      <c r="H29" s="32"/>
    </row>
    <row r="30" spans="2:11" s="31" customFormat="1" x14ac:dyDescent="0.2">
      <c r="B30" s="32"/>
      <c r="E30" s="32"/>
      <c r="F30" s="32"/>
      <c r="G30" s="32"/>
      <c r="H30" s="32"/>
    </row>
    <row r="31" spans="2:11" s="31" customFormat="1" x14ac:dyDescent="0.2">
      <c r="B31" s="32"/>
      <c r="E31" s="32"/>
      <c r="F31" s="32"/>
      <c r="G31" s="32"/>
      <c r="H31" s="32"/>
    </row>
    <row r="32" spans="2:11" s="31" customFormat="1" x14ac:dyDescent="0.2">
      <c r="B32" s="32"/>
      <c r="E32" s="32"/>
      <c r="F32" s="32"/>
      <c r="G32" s="32"/>
      <c r="H32" s="32"/>
    </row>
    <row r="33" spans="2:8" s="31" customFormat="1" x14ac:dyDescent="0.2">
      <c r="B33" s="32"/>
      <c r="E33" s="32"/>
      <c r="F33" s="32"/>
      <c r="G33" s="32"/>
      <c r="H33" s="32"/>
    </row>
    <row r="34" spans="2:8" s="31" customFormat="1" x14ac:dyDescent="0.2">
      <c r="B34" s="32"/>
      <c r="E34" s="32"/>
      <c r="F34" s="32"/>
      <c r="G34" s="32"/>
      <c r="H34" s="32"/>
    </row>
    <row r="35" spans="2:8" s="31" customFormat="1" x14ac:dyDescent="0.2">
      <c r="B35" s="32"/>
      <c r="E35" s="32"/>
      <c r="F35" s="32"/>
      <c r="G35" s="32"/>
      <c r="H35" s="32"/>
    </row>
    <row r="36" spans="2:8" s="31" customFormat="1" x14ac:dyDescent="0.2">
      <c r="B36" s="32"/>
      <c r="E36" s="32"/>
      <c r="F36" s="32"/>
      <c r="G36" s="32"/>
      <c r="H36" s="32"/>
    </row>
    <row r="37" spans="2:8" s="31" customFormat="1" x14ac:dyDescent="0.2">
      <c r="B37" s="32"/>
      <c r="E37" s="32"/>
      <c r="F37" s="32"/>
      <c r="G37" s="32"/>
      <c r="H37" s="32"/>
    </row>
    <row r="38" spans="2:8" s="31" customFormat="1" x14ac:dyDescent="0.2">
      <c r="B38" s="32"/>
      <c r="E38" s="32"/>
      <c r="F38" s="32"/>
      <c r="G38" s="32"/>
      <c r="H38" s="32"/>
    </row>
    <row r="39" spans="2:8" s="31" customFormat="1" x14ac:dyDescent="0.2">
      <c r="B39" s="32"/>
      <c r="E39" s="32"/>
      <c r="F39" s="32"/>
      <c r="G39" s="32"/>
      <c r="H39" s="32"/>
    </row>
    <row r="40" spans="2:8" s="31" customFormat="1" x14ac:dyDescent="0.2">
      <c r="B40" s="32"/>
      <c r="E40" s="32"/>
      <c r="F40" s="32"/>
      <c r="G40" s="32"/>
      <c r="H40" s="32"/>
    </row>
    <row r="41" spans="2:8" s="31" customFormat="1" x14ac:dyDescent="0.2">
      <c r="B41" s="32"/>
      <c r="E41" s="32"/>
      <c r="F41" s="32"/>
      <c r="G41" s="32"/>
      <c r="H41" s="32"/>
    </row>
    <row r="42" spans="2:8" s="31" customFormat="1" x14ac:dyDescent="0.2">
      <c r="B42" s="32"/>
      <c r="E42" s="32"/>
      <c r="F42" s="32"/>
      <c r="G42" s="32"/>
      <c r="H42" s="32"/>
    </row>
    <row r="43" spans="2:8" s="31" customFormat="1" x14ac:dyDescent="0.2">
      <c r="B43" s="32"/>
      <c r="E43" s="32"/>
      <c r="F43" s="32"/>
      <c r="G43" s="32"/>
      <c r="H43" s="32"/>
    </row>
    <row r="44" spans="2:8" s="31" customFormat="1" x14ac:dyDescent="0.2">
      <c r="B44" s="32"/>
      <c r="E44" s="32"/>
      <c r="F44" s="32"/>
      <c r="G44" s="32"/>
      <c r="H44" s="32"/>
    </row>
    <row r="45" spans="2:8" s="31" customFormat="1" x14ac:dyDescent="0.2">
      <c r="B45" s="32"/>
      <c r="E45" s="32"/>
      <c r="F45" s="32"/>
      <c r="G45" s="32"/>
      <c r="H45" s="32"/>
    </row>
    <row r="46" spans="2:8" s="31" customFormat="1" x14ac:dyDescent="0.2">
      <c r="B46" s="32"/>
      <c r="E46" s="32"/>
      <c r="F46" s="32"/>
      <c r="G46" s="32"/>
      <c r="H46" s="32"/>
    </row>
    <row r="47" spans="2:8" s="31" customFormat="1" x14ac:dyDescent="0.2">
      <c r="B47" s="32"/>
      <c r="E47" s="32"/>
      <c r="F47" s="32"/>
      <c r="G47" s="32"/>
      <c r="H47" s="32"/>
    </row>
    <row r="48" spans="2:8" s="31" customFormat="1" x14ac:dyDescent="0.2">
      <c r="B48" s="32"/>
      <c r="E48" s="32"/>
      <c r="F48" s="32"/>
      <c r="G48" s="32"/>
      <c r="H48" s="32"/>
    </row>
    <row r="49" spans="2:8" s="31" customFormat="1" x14ac:dyDescent="0.2">
      <c r="B49" s="32"/>
      <c r="E49" s="32"/>
      <c r="F49" s="32"/>
      <c r="G49" s="32"/>
      <c r="H49" s="32"/>
    </row>
    <row r="50" spans="2:8" s="31" customFormat="1" x14ac:dyDescent="0.2">
      <c r="B50" s="32"/>
      <c r="E50" s="32"/>
      <c r="F50" s="32"/>
      <c r="G50" s="32"/>
      <c r="H50" s="32"/>
    </row>
    <row r="51" spans="2:8" s="31" customFormat="1" x14ac:dyDescent="0.2">
      <c r="B51" s="32"/>
      <c r="E51" s="32"/>
      <c r="F51" s="32"/>
      <c r="G51" s="32"/>
      <c r="H51" s="32"/>
    </row>
    <row r="52" spans="2:8" s="31" customFormat="1" x14ac:dyDescent="0.2">
      <c r="B52" s="32"/>
      <c r="E52" s="32"/>
      <c r="F52" s="32"/>
      <c r="G52" s="32"/>
      <c r="H52" s="32"/>
    </row>
    <row r="53" spans="2:8" s="31" customFormat="1" x14ac:dyDescent="0.2">
      <c r="B53" s="32"/>
      <c r="E53" s="32"/>
      <c r="F53" s="32"/>
      <c r="G53" s="32"/>
      <c r="H53" s="32"/>
    </row>
    <row r="54" spans="2:8" s="31" customFormat="1" x14ac:dyDescent="0.2">
      <c r="B54" s="32"/>
      <c r="E54" s="32"/>
      <c r="F54" s="32"/>
      <c r="G54" s="32"/>
      <c r="H54" s="32"/>
    </row>
    <row r="55" spans="2:8" s="31" customFormat="1" x14ac:dyDescent="0.2">
      <c r="B55" s="32"/>
      <c r="E55" s="32"/>
      <c r="F55" s="32"/>
      <c r="G55" s="32"/>
      <c r="H55" s="32"/>
    </row>
    <row r="56" spans="2:8" s="31" customFormat="1" x14ac:dyDescent="0.2">
      <c r="B56" s="32"/>
      <c r="E56" s="32"/>
      <c r="F56" s="32"/>
      <c r="G56" s="32"/>
      <c r="H56" s="32"/>
    </row>
    <row r="57" spans="2:8" s="31" customFormat="1" x14ac:dyDescent="0.2">
      <c r="B57" s="32"/>
      <c r="E57" s="32"/>
      <c r="F57" s="32"/>
      <c r="G57" s="32"/>
      <c r="H57" s="32"/>
    </row>
    <row r="58" spans="2:8" s="31" customFormat="1" x14ac:dyDescent="0.2">
      <c r="B58" s="32"/>
      <c r="E58" s="32"/>
      <c r="F58" s="32"/>
      <c r="G58" s="32"/>
      <c r="H58" s="32"/>
    </row>
    <row r="59" spans="2:8" s="31" customFormat="1" x14ac:dyDescent="0.2">
      <c r="B59" s="32"/>
      <c r="E59" s="32"/>
      <c r="F59" s="32"/>
      <c r="G59" s="32"/>
      <c r="H59" s="32"/>
    </row>
    <row r="60" spans="2:8" s="31" customFormat="1" x14ac:dyDescent="0.2">
      <c r="B60" s="32"/>
      <c r="E60" s="32"/>
      <c r="F60" s="32"/>
      <c r="G60" s="32"/>
      <c r="H60" s="32"/>
    </row>
    <row r="61" spans="2:8" s="31" customFormat="1" x14ac:dyDescent="0.2">
      <c r="B61" s="32"/>
      <c r="E61" s="32"/>
      <c r="F61" s="32"/>
      <c r="G61" s="32"/>
      <c r="H61" s="32"/>
    </row>
    <row r="62" spans="2:8" s="31" customFormat="1" x14ac:dyDescent="0.2">
      <c r="B62" s="32"/>
      <c r="E62" s="32"/>
      <c r="F62" s="32"/>
      <c r="G62" s="32"/>
      <c r="H62" s="32"/>
    </row>
    <row r="63" spans="2:8" s="31" customFormat="1" x14ac:dyDescent="0.2">
      <c r="B63" s="32"/>
      <c r="E63" s="32"/>
      <c r="F63" s="32"/>
      <c r="G63" s="32"/>
      <c r="H63" s="32"/>
    </row>
    <row r="64" spans="2:8" s="31" customFormat="1" x14ac:dyDescent="0.2">
      <c r="B64" s="32"/>
      <c r="E64" s="32"/>
      <c r="F64" s="32"/>
      <c r="G64" s="32"/>
      <c r="H64" s="32"/>
    </row>
    <row r="65" spans="2:8" s="31" customFormat="1" x14ac:dyDescent="0.2">
      <c r="B65" s="32"/>
      <c r="E65" s="32"/>
      <c r="F65" s="32"/>
      <c r="G65" s="32"/>
      <c r="H65" s="32"/>
    </row>
    <row r="66" spans="2:8" s="31" customFormat="1" x14ac:dyDescent="0.2">
      <c r="B66" s="32"/>
      <c r="E66" s="32"/>
      <c r="F66" s="32"/>
      <c r="G66" s="32"/>
      <c r="H66" s="32"/>
    </row>
    <row r="67" spans="2:8" s="31" customFormat="1" x14ac:dyDescent="0.2">
      <c r="B67" s="32"/>
      <c r="E67" s="32"/>
      <c r="F67" s="32"/>
      <c r="G67" s="32"/>
      <c r="H67" s="32"/>
    </row>
    <row r="68" spans="2:8" s="31" customFormat="1" x14ac:dyDescent="0.2">
      <c r="B68" s="32"/>
      <c r="E68" s="32"/>
      <c r="F68" s="32"/>
      <c r="G68" s="32"/>
      <c r="H68" s="32"/>
    </row>
    <row r="69" spans="2:8" s="31" customFormat="1" x14ac:dyDescent="0.2">
      <c r="B69" s="32"/>
      <c r="E69" s="32"/>
      <c r="F69" s="32"/>
      <c r="G69" s="32"/>
      <c r="H69" s="32"/>
    </row>
    <row r="70" spans="2:8" s="31" customFormat="1" x14ac:dyDescent="0.2">
      <c r="B70" s="32"/>
      <c r="E70" s="32"/>
      <c r="F70" s="32"/>
      <c r="G70" s="32"/>
      <c r="H70" s="32"/>
    </row>
    <row r="71" spans="2:8" s="31" customFormat="1" x14ac:dyDescent="0.2">
      <c r="B71" s="32"/>
      <c r="E71" s="32"/>
      <c r="F71" s="32"/>
      <c r="G71" s="32"/>
      <c r="H71" s="32"/>
    </row>
    <row r="72" spans="2:8" s="31" customFormat="1" x14ac:dyDescent="0.2">
      <c r="B72" s="32"/>
      <c r="E72" s="32"/>
      <c r="F72" s="32"/>
      <c r="G72" s="32"/>
      <c r="H72" s="32"/>
    </row>
    <row r="73" spans="2:8" s="31" customFormat="1" x14ac:dyDescent="0.2">
      <c r="B73" s="32"/>
      <c r="E73" s="32"/>
      <c r="F73" s="32"/>
      <c r="G73" s="32"/>
      <c r="H73" s="32"/>
    </row>
    <row r="74" spans="2:8" s="31" customFormat="1" x14ac:dyDescent="0.2">
      <c r="B74" s="32"/>
      <c r="E74" s="32"/>
      <c r="F74" s="32"/>
      <c r="G74" s="32"/>
      <c r="H74" s="32"/>
    </row>
    <row r="75" spans="2:8" s="31" customFormat="1" x14ac:dyDescent="0.2">
      <c r="B75" s="32"/>
      <c r="E75" s="32"/>
      <c r="F75" s="32"/>
      <c r="G75" s="32"/>
      <c r="H75" s="32"/>
    </row>
    <row r="76" spans="2:8" s="31" customFormat="1" x14ac:dyDescent="0.2">
      <c r="B76" s="32"/>
      <c r="E76" s="32"/>
      <c r="F76" s="32"/>
      <c r="G76" s="32"/>
      <c r="H76" s="32"/>
    </row>
    <row r="77" spans="2:8" s="31" customFormat="1" x14ac:dyDescent="0.2">
      <c r="B77" s="32"/>
      <c r="E77" s="32"/>
      <c r="F77" s="32"/>
      <c r="G77" s="32"/>
      <c r="H77" s="32"/>
    </row>
    <row r="78" spans="2:8" s="31" customFormat="1" x14ac:dyDescent="0.2">
      <c r="B78" s="32"/>
      <c r="E78" s="32"/>
      <c r="F78" s="32"/>
      <c r="G78" s="32"/>
      <c r="H78" s="32"/>
    </row>
    <row r="79" spans="2:8" s="31" customFormat="1" x14ac:dyDescent="0.2">
      <c r="B79" s="32"/>
      <c r="E79" s="32"/>
      <c r="F79" s="32"/>
      <c r="G79" s="32"/>
      <c r="H79" s="32"/>
    </row>
    <row r="80" spans="2:8" s="31" customFormat="1" x14ac:dyDescent="0.2">
      <c r="B80" s="32"/>
      <c r="E80" s="32"/>
      <c r="F80" s="32"/>
      <c r="G80" s="32"/>
      <c r="H80" s="32"/>
    </row>
    <row r="81" spans="2:12" s="31" customFormat="1" x14ac:dyDescent="0.2">
      <c r="B81" s="32"/>
      <c r="E81" s="32"/>
      <c r="F81" s="32"/>
      <c r="G81" s="32"/>
      <c r="H81" s="32"/>
    </row>
    <row r="82" spans="2:12" s="31" customFormat="1" x14ac:dyDescent="0.2">
      <c r="B82" s="32"/>
      <c r="E82" s="32"/>
      <c r="F82" s="32"/>
      <c r="G82" s="32"/>
      <c r="H82" s="32"/>
    </row>
    <row r="83" spans="2:12" s="31" customFormat="1" x14ac:dyDescent="0.2">
      <c r="B83" s="32"/>
      <c r="E83" s="32"/>
      <c r="F83" s="32"/>
      <c r="G83" s="32"/>
      <c r="H83" s="32"/>
    </row>
    <row r="84" spans="2:12" s="31" customFormat="1" x14ac:dyDescent="0.2">
      <c r="B84" s="32"/>
      <c r="E84" s="32"/>
      <c r="F84" s="32"/>
      <c r="G84" s="32"/>
      <c r="H84" s="32"/>
    </row>
    <row r="85" spans="2:12" s="31" customFormat="1" x14ac:dyDescent="0.2">
      <c r="B85" s="32"/>
      <c r="E85" s="32"/>
      <c r="F85" s="32"/>
      <c r="G85" s="32"/>
      <c r="H85" s="32"/>
    </row>
    <row r="86" spans="2:12" s="31" customFormat="1" x14ac:dyDescent="0.2">
      <c r="B86" s="32"/>
      <c r="E86" s="32"/>
      <c r="F86" s="32"/>
      <c r="G86" s="32"/>
      <c r="H86" s="32"/>
    </row>
    <row r="87" spans="2:12" s="31" customFormat="1" x14ac:dyDescent="0.2">
      <c r="B87" s="32"/>
      <c r="E87" s="32"/>
      <c r="F87" s="32"/>
      <c r="G87" s="32"/>
      <c r="H87" s="32"/>
    </row>
    <row r="88" spans="2:12" s="31" customFormat="1" x14ac:dyDescent="0.2">
      <c r="B88" s="32"/>
      <c r="D88" s="21"/>
      <c r="E88" s="22"/>
      <c r="F88" s="22"/>
      <c r="G88" s="22"/>
      <c r="H88" s="22"/>
      <c r="I88" s="21"/>
      <c r="J88" s="21"/>
      <c r="K88" s="21"/>
      <c r="L88" s="21"/>
    </row>
  </sheetData>
  <customSheetViews>
    <customSheetView guid="{BFD0A862-FF9D-4229-ADD0-2A37AEA5AF1F}" showGridLines="0" showRowCol="0">
      <selection activeCell="C8" sqref="C8"/>
      <pageMargins left="0.74803149606299213" right="0.74803149606299213" top="0.74803149606299213" bottom="0.74803149606299213" header="0.31496062992125984" footer="0.31496062992125984"/>
      <pageSetup paperSize="9" scale="80" fitToHeight="0" orientation="landscape" r:id="rId1"/>
      <headerFooter>
        <oddHeader>&amp;L&amp;A&amp;RDomares</oddHeader>
        <oddFooter>&amp;LMichael Eschmann, Markus Markstaler&amp;RInstitut für Energiesysteme</oddFooter>
      </headerFooter>
    </customSheetView>
    <customSheetView guid="{11DD1BF8-C577-48F3-8516-9D608BF5BCA7}" showPageBreaks="1" showGridLines="0" showRowCol="0" printArea="1" hiddenColumns="1">
      <selection activeCell="Y13" sqref="Y13"/>
      <pageMargins left="0.74803149606299213" right="0.74803149606299213" top="0.74803149606299213" bottom="0.74803149606299213" header="0.31496062992125984" footer="0.31496062992125984"/>
      <pageSetup paperSize="9" scale="80" fitToHeight="0" orientation="landscape" r:id="rId2"/>
      <headerFooter>
        <oddHeader>&amp;L&amp;A&amp;RDomares</oddHeader>
        <oddFooter>&amp;LMichael Eschmann, Markus Markstaler&amp;RInstitut für Energiesysteme</oddFooter>
      </headerFooter>
    </customSheetView>
  </customSheetViews>
  <mergeCells count="4">
    <mergeCell ref="E1:F1"/>
    <mergeCell ref="G1:H1"/>
    <mergeCell ref="I1:J1"/>
    <mergeCell ref="K1:L1"/>
  </mergeCells>
  <phoneticPr fontId="21" type="noConversion"/>
  <dataValidations count="1">
    <dataValidation allowBlank="1" showInputMessage="1" showErrorMessage="1" error="Wert sollte zwischen -90 und 90 sein" sqref="B12"/>
  </dataValidations>
  <pageMargins left="0.74803149606299213" right="0.74803149606299213" top="0.74803149606299213" bottom="0.74803149606299213" header="0.31496062992125984" footer="0.31496062992125984"/>
  <pageSetup paperSize="9" scale="80" fitToHeight="0" orientation="landscape" r:id="rId3"/>
  <headerFooter>
    <oddHeader>&amp;L&amp;A&amp;RDomares</oddHeader>
    <oddFooter>&amp;LMichael Eschmann, Markus Markstaler&amp;RInstitut für Energiesysteme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" r:id="rId6" name="Drop Down 208">
              <controlPr locked="0" defaultSize="0" autoLine="0" autoPict="0">
                <anchor moveWithCells="1">
                  <from>
                    <xdr:col>1</xdr:col>
                    <xdr:colOff>0</xdr:colOff>
                    <xdr:row>0</xdr:row>
                    <xdr:rowOff>285750</xdr:rowOff>
                  </from>
                  <to>
                    <xdr:col>2</xdr:col>
                    <xdr:colOff>323850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7" name="Drop Down 443">
              <controlPr locked="0" defaultSize="0" autoLine="0" autoPict="0">
                <anchor moveWithCells="1">
                  <from>
                    <xdr:col>4</xdr:col>
                    <xdr:colOff>0</xdr:colOff>
                    <xdr:row>1</xdr:row>
                    <xdr:rowOff>19050</xdr:rowOff>
                  </from>
                  <to>
                    <xdr:col>5</xdr:col>
                    <xdr:colOff>790575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8" name="Drop Down 447">
              <controlPr locked="0" defaultSize="0" autoLine="0" autoPict="0">
                <anchor moveWithCells="1">
                  <from>
                    <xdr:col>5</xdr:col>
                    <xdr:colOff>57150</xdr:colOff>
                    <xdr:row>2</xdr:row>
                    <xdr:rowOff>28575</xdr:rowOff>
                  </from>
                  <to>
                    <xdr:col>5</xdr:col>
                    <xdr:colOff>781050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9" name="Drop Down 479">
              <controlPr locked="0" defaultSize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0" name="Drop Down 540">
              <controlPr defaultSize="0" autoLine="0" autoPict="0">
                <anchor moveWithCells="1">
                  <from>
                    <xdr:col>6</xdr:col>
                    <xdr:colOff>0</xdr:colOff>
                    <xdr:row>1</xdr:row>
                    <xdr:rowOff>19050</xdr:rowOff>
                  </from>
                  <to>
                    <xdr:col>7</xdr:col>
                    <xdr:colOff>771525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1" name="Drop Down 541">
              <controlPr locked="0" defaultSize="0" autoLine="0" autoPict="0">
                <anchor moveWithCells="1">
                  <from>
                    <xdr:col>7</xdr:col>
                    <xdr:colOff>47625</xdr:colOff>
                    <xdr:row>2</xdr:row>
                    <xdr:rowOff>28575</xdr:rowOff>
                  </from>
                  <to>
                    <xdr:col>7</xdr:col>
                    <xdr:colOff>771525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2" name="Drop Down 543">
              <controlPr locked="0" defaultSize="0" autoLine="0" autoPict="0">
                <anchor moveWithCells="1">
                  <from>
                    <xdr:col>8</xdr:col>
                    <xdr:colOff>0</xdr:colOff>
                    <xdr:row>1</xdr:row>
                    <xdr:rowOff>19050</xdr:rowOff>
                  </from>
                  <to>
                    <xdr:col>9</xdr:col>
                    <xdr:colOff>752475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3" name="Drop Down 544">
              <controlPr locked="0" defaultSize="0" autoLine="0" autoPict="0">
                <anchor moveWithCells="1">
                  <from>
                    <xdr:col>9</xdr:col>
                    <xdr:colOff>28575</xdr:colOff>
                    <xdr:row>2</xdr:row>
                    <xdr:rowOff>28575</xdr:rowOff>
                  </from>
                  <to>
                    <xdr:col>9</xdr:col>
                    <xdr:colOff>752475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4" name="Drop Down 546">
              <controlPr defaultSize="0" autoLine="0" autoPict="0">
                <anchor moveWithCells="1">
                  <from>
                    <xdr:col>10</xdr:col>
                    <xdr:colOff>0</xdr:colOff>
                    <xdr:row>1</xdr:row>
                    <xdr:rowOff>19050</xdr:rowOff>
                  </from>
                  <to>
                    <xdr:col>11</xdr:col>
                    <xdr:colOff>752475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5" name="Drop Down 547">
              <controlPr locked="0" defaultSize="0" autoLine="0" autoPict="0">
                <anchor moveWithCells="1">
                  <from>
                    <xdr:col>11</xdr:col>
                    <xdr:colOff>28575</xdr:colOff>
                    <xdr:row>2</xdr:row>
                    <xdr:rowOff>28575</xdr:rowOff>
                  </from>
                  <to>
                    <xdr:col>11</xdr:col>
                    <xdr:colOff>752475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12"/>
  </sheetPr>
  <dimension ref="A1:D27"/>
  <sheetViews>
    <sheetView zoomScaleNormal="100" workbookViewId="0">
      <selection activeCell="B26" sqref="B26"/>
    </sheetView>
  </sheetViews>
  <sheetFormatPr baseColWidth="10" defaultRowHeight="12.75" x14ac:dyDescent="0.2"/>
  <cols>
    <col min="1" max="1" width="25.5703125" style="2" bestFit="1" customWidth="1"/>
    <col min="2" max="16384" width="11.42578125" style="2"/>
  </cols>
  <sheetData>
    <row r="1" spans="1:4" x14ac:dyDescent="0.2">
      <c r="A1" s="4" t="s">
        <v>17</v>
      </c>
    </row>
    <row r="2" spans="1:4" x14ac:dyDescent="0.2">
      <c r="A2" s="2" t="s">
        <v>18</v>
      </c>
      <c r="B2" s="5">
        <f>Gebäude!E6*Gebäude!E7*24/Übersicht!B6*3.6/1000*Ortsdaten!B4*IF(Übersicht!$B$9&gt;20,((Übersicht!$B$9-20)*0.06)+1,IF(Übersicht!$B$9&lt;20,(1-(20-Übersicht!$B$9)*0.05),1))</f>
        <v>70.377822719999983</v>
      </c>
    </row>
    <row r="3" spans="1:4" x14ac:dyDescent="0.2">
      <c r="A3" s="2" t="s">
        <v>19</v>
      </c>
      <c r="B3" s="5">
        <f>Gebäude!E9*Gebäude!E10*24/Übersicht!B6*3.6/1000*Ortsdaten!B4*IF(Übersicht!$B$9&gt;20,((Übersicht!$B$9-20)*0.06)+1,IF(Übersicht!$B$9&lt;20,(1-(20-Übersicht!$B$9)*0.05),1))</f>
        <v>30.93984</v>
      </c>
    </row>
    <row r="4" spans="1:4" x14ac:dyDescent="0.2">
      <c r="A4" s="2" t="s">
        <v>20</v>
      </c>
      <c r="B4" s="5">
        <f>Gebäude!E12*Gebäude!E14*24/Übersicht!B6*3.6/1000*Ortsdaten!B4*IF(Übersicht!$B$9&gt;20,((Übersicht!$B$9-20)*0.06)+1,IF(Übersicht!$B$9&lt;20,(1-(20-Übersicht!$B$9)*0.05),1))</f>
        <v>5.3629056000000004</v>
      </c>
    </row>
    <row r="5" spans="1:4" x14ac:dyDescent="0.2">
      <c r="A5" s="2" t="s">
        <v>21</v>
      </c>
      <c r="B5" s="5">
        <f>Gebäude!E24*Gebäude!E25*24/Übersicht!B6*3.6/1000*Ortsdaten!B4*IF(Übersicht!$B$9&gt;20,((Übersicht!$B$9-20)*0.06)+1,IF(Übersicht!$B$9&lt;20,(1-(20-Übersicht!$B$9)*0.05),1))</f>
        <v>6.1879679999999997</v>
      </c>
    </row>
    <row r="6" spans="1:4" x14ac:dyDescent="0.2">
      <c r="B6" s="5"/>
    </row>
    <row r="7" spans="1:4" x14ac:dyDescent="0.2">
      <c r="A7" s="2" t="s">
        <v>22</v>
      </c>
      <c r="B7" s="5">
        <f>Gebäude!B14*Gebäude!B15*(Übersicht!B9-6)*24/Übersicht!B6*3.6/1000*Ortsdaten!B5</f>
        <v>3.4930022400000009</v>
      </c>
    </row>
    <row r="8" spans="1:4" x14ac:dyDescent="0.2">
      <c r="A8" s="2" t="s">
        <v>23</v>
      </c>
      <c r="B8" s="5">
        <f>Gebäude!B17*Gebäude!B18*(Übersicht!B9-8)*24/Übersicht!B6*3.6/1000*Ortsdaten!B5</f>
        <v>32.078592000000008</v>
      </c>
    </row>
    <row r="9" spans="1:4" x14ac:dyDescent="0.2">
      <c r="A9" s="2" t="s">
        <v>24</v>
      </c>
      <c r="B9" s="5">
        <f>Gebäude!B20*Gebäude!B22*(Übersicht!B9-6)*24/Übersicht!B6*3.6/1000*Ortsdaten!B5</f>
        <v>0</v>
      </c>
    </row>
    <row r="10" spans="1:4" x14ac:dyDescent="0.2">
      <c r="A10" s="2" t="s">
        <v>25</v>
      </c>
      <c r="B10" s="5">
        <f>Gebäude!B24*Gebäude!B25*(Übersicht!B9-6)*24/Übersicht!B6*3.6/1000*Ortsdaten!B5</f>
        <v>0</v>
      </c>
    </row>
    <row r="11" spans="1:4" x14ac:dyDescent="0.2">
      <c r="B11" s="6"/>
    </row>
    <row r="12" spans="1:4" ht="14.25" x14ac:dyDescent="0.2">
      <c r="A12" s="4" t="s">
        <v>26</v>
      </c>
      <c r="B12" s="7">
        <f>SUM(B2:B10)*1.2</f>
        <v>178.12815667199999</v>
      </c>
      <c r="C12" s="4" t="s">
        <v>28</v>
      </c>
      <c r="D12" s="7"/>
    </row>
    <row r="13" spans="1:4" x14ac:dyDescent="0.2">
      <c r="B13" s="8"/>
    </row>
    <row r="14" spans="1:4" x14ac:dyDescent="0.2">
      <c r="A14" s="4" t="s">
        <v>29</v>
      </c>
      <c r="B14" s="8"/>
    </row>
    <row r="15" spans="1:4" ht="14.25" x14ac:dyDescent="0.2">
      <c r="A15" s="4" t="s">
        <v>30</v>
      </c>
      <c r="B15" s="7">
        <f>(Parameter!B31*Übersicht!B6*Übersicht!B4*24/Übersicht!B6/1000*(1-Parameter!B32)*Ortsdaten!B4)*1.1*IF(Übersicht!$B$9&gt;20,((Übersicht!$B$9-20)*0.06)+1,IF(Übersicht!$B$9&lt;20,(1-(20-Übersicht!$B$9)*0.05),1))</f>
        <v>17.016912000000001</v>
      </c>
      <c r="C15" s="4" t="s">
        <v>28</v>
      </c>
    </row>
    <row r="16" spans="1:4" ht="14.25" x14ac:dyDescent="0.2">
      <c r="A16" s="4" t="s">
        <v>66</v>
      </c>
      <c r="B16" s="7">
        <f>Parameter!B33*3.6/Übersicht!B6</f>
        <v>20.04</v>
      </c>
      <c r="C16" s="4" t="s">
        <v>28</v>
      </c>
    </row>
    <row r="17" spans="1:3" x14ac:dyDescent="0.2">
      <c r="B17" s="8"/>
    </row>
    <row r="18" spans="1:3" x14ac:dyDescent="0.2">
      <c r="A18" s="4" t="s">
        <v>113</v>
      </c>
      <c r="B18" s="8"/>
    </row>
    <row r="19" spans="1:3" x14ac:dyDescent="0.2">
      <c r="A19" s="3" t="s">
        <v>116</v>
      </c>
      <c r="B19" s="8">
        <f>Übersicht!B8*Parameter!B6*(Parameter!B5-Parameter!B4)*365*1.16/1000</f>
        <v>3810.5999999999995</v>
      </c>
      <c r="C19" s="3" t="s">
        <v>117</v>
      </c>
    </row>
    <row r="20" spans="1:3" x14ac:dyDescent="0.2">
      <c r="A20" s="4"/>
      <c r="B20" s="8"/>
    </row>
    <row r="21" spans="1:3" ht="14.25" x14ac:dyDescent="0.2">
      <c r="A21" s="4" t="s">
        <v>39</v>
      </c>
      <c r="B21" s="7">
        <f>B19*3.6/Übersicht!B6</f>
        <v>91.454399999999993</v>
      </c>
      <c r="C21" s="4" t="s">
        <v>28</v>
      </c>
    </row>
    <row r="22" spans="1:3" x14ac:dyDescent="0.2">
      <c r="B22" s="8"/>
    </row>
    <row r="23" spans="1:3" x14ac:dyDescent="0.2">
      <c r="B23" s="8"/>
    </row>
    <row r="24" spans="1:3" x14ac:dyDescent="0.2">
      <c r="A24" s="3" t="s">
        <v>119</v>
      </c>
      <c r="B24" s="8"/>
    </row>
    <row r="25" spans="1:3" ht="14.25" x14ac:dyDescent="0.2">
      <c r="A25" s="4" t="s">
        <v>36</v>
      </c>
      <c r="B25" s="7">
        <f>B21+B15+B12</f>
        <v>286.599468672</v>
      </c>
      <c r="C25" s="4" t="s">
        <v>28</v>
      </c>
    </row>
    <row r="26" spans="1:3" x14ac:dyDescent="0.2">
      <c r="B26" s="6"/>
    </row>
    <row r="27" spans="1:3" x14ac:dyDescent="0.2">
      <c r="B27" s="6"/>
    </row>
  </sheetData>
  <customSheetViews>
    <customSheetView guid="{BFD0A862-FF9D-4229-ADD0-2A37AEA5AF1F}" state="hidden">
      <selection activeCell="B3" sqref="B3"/>
      <pageMargins left="0.23622047244094491" right="0.23622047244094491" top="0.74803149606299213" bottom="0.74803149606299213" header="0.31496062992125984" footer="0.31496062992125984"/>
      <pageSetup paperSize="9" scale="80" orientation="portrait" horizontalDpi="360" verticalDpi="360" r:id="rId1"/>
      <headerFooter alignWithMargins="0">
        <oddFooter xml:space="preserve">&amp;LMichael Eschmann, Markus Markstaler&amp;RInstitut für Energiesysteme
</oddFooter>
      </headerFooter>
    </customSheetView>
    <customSheetView guid="{11DD1BF8-C577-48F3-8516-9D608BF5BCA7}" state="hidden">
      <selection activeCell="B26" sqref="B26"/>
      <pageMargins left="0.23622047244094491" right="0.23622047244094491" top="0.74803149606299213" bottom="0.74803149606299213" header="0.31496062992125984" footer="0.31496062992125984"/>
      <pageSetup paperSize="9" scale="80" orientation="portrait" horizontalDpi="360" verticalDpi="360" r:id="rId2"/>
      <headerFooter alignWithMargins="0">
        <oddFooter xml:space="preserve">&amp;LMichael Eschmann, Markus Markstaler&amp;RInstitut für Energiesysteme
</oddFooter>
      </headerFooter>
    </customSheetView>
  </customSheetViews>
  <phoneticPr fontId="0" type="noConversion"/>
  <pageMargins left="0.23622047244094491" right="0.23622047244094491" top="0.74803149606299213" bottom="0.74803149606299213" header="0.31496062992125984" footer="0.31496062992125984"/>
  <pageSetup paperSize="9" scale="80" orientation="portrait" horizontalDpi="360" verticalDpi="360" r:id="rId3"/>
  <headerFooter alignWithMargins="0">
    <oddFooter xml:space="preserve">&amp;LMichael Eschmann, Markus Markstaler&amp;RInstitut für Energiesysteme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12"/>
  </sheetPr>
  <dimension ref="A1:E27"/>
  <sheetViews>
    <sheetView topLeftCell="A4" zoomScaleNormal="100" zoomScalePageLayoutView="60" workbookViewId="0">
      <selection activeCell="B26" sqref="B26"/>
    </sheetView>
  </sheetViews>
  <sheetFormatPr baseColWidth="10" defaultRowHeight="12.75" x14ac:dyDescent="0.2"/>
  <cols>
    <col min="1" max="1" width="38.140625" style="13" customWidth="1"/>
    <col min="2" max="3" width="11.42578125" style="13"/>
    <col min="4" max="4" width="20.42578125" style="13" customWidth="1"/>
    <col min="5" max="5" width="94.140625" style="16" bestFit="1" customWidth="1"/>
    <col min="6" max="6" width="60" style="13" customWidth="1"/>
    <col min="7" max="16384" width="11.42578125" style="13"/>
  </cols>
  <sheetData>
    <row r="1" spans="1:5" s="2" customFormat="1" x14ac:dyDescent="0.2">
      <c r="A1" s="4" t="s">
        <v>37</v>
      </c>
      <c r="E1" s="14" t="s">
        <v>95</v>
      </c>
    </row>
    <row r="2" spans="1:5" s="2" customFormat="1" x14ac:dyDescent="0.2">
      <c r="A2" s="2" t="s">
        <v>38</v>
      </c>
      <c r="B2" s="2">
        <f>Übersicht!B8</f>
        <v>4</v>
      </c>
      <c r="E2" s="14" t="s">
        <v>141</v>
      </c>
    </row>
    <row r="3" spans="1:5" s="2" customFormat="1" x14ac:dyDescent="0.2">
      <c r="A3" s="2" t="s">
        <v>44</v>
      </c>
      <c r="B3" s="11">
        <v>70</v>
      </c>
      <c r="C3" s="2" t="s">
        <v>41</v>
      </c>
      <c r="E3" s="14" t="s">
        <v>355</v>
      </c>
    </row>
    <row r="4" spans="1:5" s="2" customFormat="1" x14ac:dyDescent="0.2">
      <c r="A4" s="2" t="s">
        <v>42</v>
      </c>
      <c r="B4" s="1">
        <v>12</v>
      </c>
      <c r="C4" s="2" t="s">
        <v>43</v>
      </c>
      <c r="E4" s="14" t="s">
        <v>356</v>
      </c>
    </row>
    <row r="5" spans="1:5" s="2" customFormat="1" x14ac:dyDescent="0.2">
      <c r="E5" s="14"/>
    </row>
    <row r="6" spans="1:5" s="2" customFormat="1" ht="14.25" x14ac:dyDescent="0.2">
      <c r="A6" s="4" t="s">
        <v>40</v>
      </c>
      <c r="B6" s="12">
        <f>B3*B4*B2/Übersicht!B6*3.6/1000*Ortsdaten!B5</f>
        <v>17.821439999999999</v>
      </c>
      <c r="C6" s="4" t="s">
        <v>28</v>
      </c>
      <c r="E6" s="14"/>
    </row>
    <row r="7" spans="1:5" s="2" customFormat="1" x14ac:dyDescent="0.2">
      <c r="E7" s="14"/>
    </row>
    <row r="8" spans="1:5" s="2" customFormat="1" x14ac:dyDescent="0.2">
      <c r="A8" s="4" t="s">
        <v>45</v>
      </c>
      <c r="E8" s="14"/>
    </row>
    <row r="9" spans="1:5" s="2" customFormat="1" ht="14.25" x14ac:dyDescent="0.2">
      <c r="A9" s="3" t="s">
        <v>46</v>
      </c>
      <c r="B9" s="11">
        <v>80</v>
      </c>
      <c r="C9" s="2" t="s">
        <v>27</v>
      </c>
      <c r="E9" s="14" t="s">
        <v>317</v>
      </c>
    </row>
    <row r="10" spans="1:5" s="2" customFormat="1" x14ac:dyDescent="0.2">
      <c r="A10" s="3" t="s">
        <v>47</v>
      </c>
      <c r="B10" s="1">
        <v>0.7</v>
      </c>
      <c r="E10" s="14" t="s">
        <v>354</v>
      </c>
    </row>
    <row r="11" spans="1:5" s="2" customFormat="1" x14ac:dyDescent="0.2">
      <c r="E11" s="14"/>
    </row>
    <row r="12" spans="1:5" s="2" customFormat="1" ht="14.25" x14ac:dyDescent="0.2">
      <c r="A12" s="4" t="s">
        <v>48</v>
      </c>
      <c r="B12" s="12">
        <f>B9*B10/365*Ortsdaten!B5</f>
        <v>33.906849315068492</v>
      </c>
      <c r="C12" s="4" t="s">
        <v>28</v>
      </c>
      <c r="E12" s="14"/>
    </row>
    <row r="13" spans="1:5" s="2" customFormat="1" x14ac:dyDescent="0.2">
      <c r="E13" s="14"/>
    </row>
    <row r="14" spans="1:5" s="2" customFormat="1" x14ac:dyDescent="0.2">
      <c r="E14" s="14"/>
    </row>
    <row r="15" spans="1:5" s="2" customFormat="1" x14ac:dyDescent="0.2">
      <c r="A15" s="4" t="s">
        <v>120</v>
      </c>
      <c r="E15" s="14"/>
    </row>
    <row r="16" spans="1:5" s="2" customFormat="1" ht="12.75" customHeight="1" x14ac:dyDescent="0.2">
      <c r="A16" s="2" t="s">
        <v>47</v>
      </c>
      <c r="B16" s="1">
        <v>0.9</v>
      </c>
      <c r="E16" s="14" t="s">
        <v>145</v>
      </c>
    </row>
    <row r="17" spans="1:5" s="2" customFormat="1" x14ac:dyDescent="0.2">
      <c r="A17" s="2" t="s">
        <v>50</v>
      </c>
      <c r="B17" s="1">
        <v>0.8</v>
      </c>
      <c r="E17" s="14"/>
    </row>
    <row r="18" spans="1:5" s="2" customFormat="1" ht="14.25" x14ac:dyDescent="0.2">
      <c r="A18" s="3" t="s">
        <v>169</v>
      </c>
      <c r="B18" s="5">
        <f>Gebäude!E13*Gebäude!E14/Übersicht!B6*Ortsdaten!B9</f>
        <v>3.6446666666666672</v>
      </c>
      <c r="C18" s="3" t="s">
        <v>27</v>
      </c>
      <c r="E18" s="14"/>
    </row>
    <row r="19" spans="1:5" s="2" customFormat="1" ht="14.25" x14ac:dyDescent="0.2">
      <c r="A19" s="3" t="s">
        <v>170</v>
      </c>
      <c r="B19" s="5">
        <f>Gebäude!E17*Gebäude!E18/Übersicht!B6*AVERAGE(Ortsdaten!B7:B8)</f>
        <v>26.616333333333337</v>
      </c>
      <c r="C19" s="3" t="s">
        <v>27</v>
      </c>
      <c r="E19" s="14"/>
    </row>
    <row r="20" spans="1:5" s="2" customFormat="1" ht="14.25" x14ac:dyDescent="0.2">
      <c r="A20" s="3" t="s">
        <v>168</v>
      </c>
      <c r="B20" s="5">
        <f>Gebäude!E21*Gebäude!E22/Übersicht!B6*Ortsdaten!B6</f>
        <v>68.493333333333339</v>
      </c>
      <c r="C20" s="3" t="s">
        <v>27</v>
      </c>
      <c r="E20" s="14"/>
    </row>
    <row r="21" spans="1:5" s="2" customFormat="1" ht="14.25" x14ac:dyDescent="0.2">
      <c r="A21" s="4" t="s">
        <v>49</v>
      </c>
      <c r="B21" s="12">
        <f>B16*B17*SUM(B18:B20)</f>
        <v>71.103120000000004</v>
      </c>
      <c r="C21" s="4" t="s">
        <v>28</v>
      </c>
      <c r="E21" s="14"/>
    </row>
    <row r="22" spans="1:5" s="2" customFormat="1" x14ac:dyDescent="0.2">
      <c r="E22" s="14"/>
    </row>
    <row r="23" spans="1:5" s="2" customFormat="1" x14ac:dyDescent="0.2">
      <c r="E23" s="14"/>
    </row>
    <row r="24" spans="1:5" s="2" customFormat="1" x14ac:dyDescent="0.2">
      <c r="A24" s="3" t="s">
        <v>123</v>
      </c>
      <c r="E24" s="14"/>
    </row>
    <row r="25" spans="1:5" s="2" customFormat="1" ht="14.25" x14ac:dyDescent="0.2">
      <c r="A25" s="4" t="s">
        <v>452</v>
      </c>
      <c r="B25" s="7">
        <f>SUM(B6,B12,B21)*(1-0.3*(SUM(B6,B12,B21)/(SUM(Verbrauch!B12,Verbrauch!B15))))</f>
        <v>99.637041324629948</v>
      </c>
      <c r="C25" s="4" t="s">
        <v>28</v>
      </c>
      <c r="E25" s="15"/>
    </row>
    <row r="26" spans="1:5" s="2" customFormat="1" ht="14.25" x14ac:dyDescent="0.2">
      <c r="A26" s="3" t="s">
        <v>453</v>
      </c>
      <c r="B26" s="162">
        <f>B21+B12+B6</f>
        <v>122.8314093150685</v>
      </c>
      <c r="C26" s="3" t="s">
        <v>27</v>
      </c>
      <c r="E26" s="14"/>
    </row>
    <row r="27" spans="1:5" s="2" customFormat="1" x14ac:dyDescent="0.2">
      <c r="E27" s="14"/>
    </row>
  </sheetData>
  <customSheetViews>
    <customSheetView guid="{BFD0A862-FF9D-4229-ADD0-2A37AEA5AF1F}" state="hidden">
      <selection activeCell="B32" sqref="B32"/>
      <pageMargins left="0.23622047244094491" right="0.23622047244094491" top="0.74803149606299213" bottom="0.74803149606299213" header="0.31496062992125984" footer="0.31496062992125984"/>
      <pageSetup paperSize="9" scale="80" fitToHeight="0" orientation="portrait" horizontalDpi="360" verticalDpi="360" r:id="rId1"/>
      <headerFooter alignWithMargins="0">
        <oddFooter>&amp;LMichael Eschmann, Markus Markstaler&amp;RInstitut für Energiesysteme</oddFooter>
      </headerFooter>
    </customSheetView>
    <customSheetView guid="{11DD1BF8-C577-48F3-8516-9D608BF5BCA7}" state="hidden" topLeftCell="A4">
      <selection activeCell="B26" sqref="B26"/>
      <pageMargins left="0.23622047244094491" right="0.23622047244094491" top="0.74803149606299213" bottom="0.74803149606299213" header="0.31496062992125984" footer="0.31496062992125984"/>
      <pageSetup paperSize="9" scale="80" fitToHeight="0" orientation="portrait" horizontalDpi="360" verticalDpi="360" r:id="rId2"/>
      <headerFooter alignWithMargins="0">
        <oddFooter>&amp;LMichael Eschmann, Markus Markstaler&amp;RInstitut für Energiesysteme</oddFooter>
      </headerFooter>
    </customSheetView>
  </customSheetViews>
  <phoneticPr fontId="0" type="noConversion"/>
  <pageMargins left="0.23622047244094491" right="0.23622047244094491" top="0.74803149606299213" bottom="0.74803149606299213" header="0.31496062992125984" footer="0.31496062992125984"/>
  <pageSetup paperSize="9" scale="80" fitToHeight="0" orientation="portrait" horizontalDpi="360" verticalDpi="360" r:id="rId3"/>
  <headerFooter alignWithMargins="0">
    <oddFooter>&amp;LMichael Eschmann, Markus Markstaler&amp;RInstitut für Energiesysteme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indexed="12"/>
  </sheetPr>
  <dimension ref="A1:L22"/>
  <sheetViews>
    <sheetView zoomScaleNormal="100" workbookViewId="0">
      <selection activeCell="L42" sqref="L42"/>
    </sheetView>
  </sheetViews>
  <sheetFormatPr baseColWidth="10" defaultRowHeight="12.75" x14ac:dyDescent="0.2"/>
  <cols>
    <col min="1" max="1" width="15.28515625" style="2" bestFit="1" customWidth="1"/>
    <col min="2" max="3" width="11.42578125" style="2"/>
    <col min="4" max="4" width="6.42578125" style="2" customWidth="1"/>
    <col min="5" max="5" width="11.42578125" style="9"/>
    <col min="6" max="16384" width="11.42578125" style="2"/>
  </cols>
  <sheetData>
    <row r="1" spans="1:12" x14ac:dyDescent="0.2">
      <c r="A1" s="4" t="s">
        <v>149</v>
      </c>
    </row>
    <row r="2" spans="1:12" ht="14.25" x14ac:dyDescent="0.2">
      <c r="A2" s="3" t="s">
        <v>275</v>
      </c>
      <c r="B2" s="5">
        <f>Verbrauch!B25-Gewinne!B25</f>
        <v>186.96242734737007</v>
      </c>
      <c r="C2" s="3" t="s">
        <v>150</v>
      </c>
      <c r="D2" s="8">
        <f>B2/3.6</f>
        <v>51.934007596491682</v>
      </c>
      <c r="E2" s="3" t="s">
        <v>151</v>
      </c>
    </row>
    <row r="3" spans="1:12" x14ac:dyDescent="0.2">
      <c r="A3" s="3"/>
      <c r="D3" s="8"/>
    </row>
    <row r="4" spans="1:12" ht="14.25" x14ac:dyDescent="0.2">
      <c r="A4" s="5" t="str">
        <f>INDEX(H$4:L$4,G4)</f>
        <v>gew.EKZ WP</v>
      </c>
      <c r="B4" s="5">
        <f>INDEX(H$5:L$5,G4)</f>
        <v>138.49068692397782</v>
      </c>
      <c r="C4" s="3" t="s">
        <v>150</v>
      </c>
      <c r="D4" s="8">
        <f t="shared" ref="D4:D10" si="0">B4/3.6</f>
        <v>38.469635256660503</v>
      </c>
      <c r="E4" s="3" t="s">
        <v>151</v>
      </c>
      <c r="G4" s="5">
        <f>Ergebnisse!I1</f>
        <v>1</v>
      </c>
      <c r="H4" s="3" t="s">
        <v>302</v>
      </c>
      <c r="I4" s="3" t="s">
        <v>305</v>
      </c>
      <c r="J4" s="3" t="s">
        <v>303</v>
      </c>
      <c r="K4" s="3" t="s">
        <v>304</v>
      </c>
      <c r="L4" s="3" t="s">
        <v>302</v>
      </c>
    </row>
    <row r="5" spans="1:12" ht="14.25" x14ac:dyDescent="0.2">
      <c r="A5" s="5" t="str">
        <f>INDEX(H$4:L$4,G5)</f>
        <v>gew.EKZ Pellets</v>
      </c>
      <c r="B5" s="5">
        <f>INDEX(H$5:L$5,G5)</f>
        <v>109.97789843962946</v>
      </c>
      <c r="C5" s="3" t="s">
        <v>150</v>
      </c>
      <c r="D5" s="8">
        <f t="shared" si="0"/>
        <v>30.549416233230403</v>
      </c>
      <c r="E5" s="3" t="s">
        <v>151</v>
      </c>
      <c r="G5" s="5">
        <f>Ergebnisse!J1</f>
        <v>2</v>
      </c>
      <c r="H5" s="2">
        <f>B2/1.35</f>
        <v>138.49068692397782</v>
      </c>
      <c r="I5" s="2">
        <f>B2/1.7</f>
        <v>109.97789843962946</v>
      </c>
      <c r="J5" s="2">
        <f>B2/0.92</f>
        <v>203.22002972540224</v>
      </c>
      <c r="K5" s="2">
        <f>B2/0.88</f>
        <v>212.45730380382963</v>
      </c>
      <c r="L5" s="2">
        <f>H5</f>
        <v>138.49068692397782</v>
      </c>
    </row>
    <row r="6" spans="1:12" ht="14.25" x14ac:dyDescent="0.2">
      <c r="A6" s="5" t="str">
        <f>INDEX(H$4:L$4,G6)</f>
        <v>gew.EKZ Gas</v>
      </c>
      <c r="B6" s="5">
        <f>INDEX(H$5:L$5,G6)</f>
        <v>203.22002972540224</v>
      </c>
      <c r="C6" s="3" t="s">
        <v>150</v>
      </c>
      <c r="D6" s="8">
        <f t="shared" si="0"/>
        <v>56.450008257056176</v>
      </c>
      <c r="E6" s="3" t="s">
        <v>151</v>
      </c>
      <c r="G6" s="5">
        <f>Ergebnisse!K1</f>
        <v>3</v>
      </c>
    </row>
    <row r="7" spans="1:12" ht="14.25" x14ac:dyDescent="0.2">
      <c r="A7" s="5" t="str">
        <f>INDEX(H$4:L$4,G7)</f>
        <v>gew.EKZ Öl</v>
      </c>
      <c r="B7" s="5">
        <f>INDEX(H$5:L$5,G7)</f>
        <v>212.45730380382963</v>
      </c>
      <c r="C7" s="3" t="s">
        <v>150</v>
      </c>
      <c r="D7" s="8">
        <f t="shared" si="0"/>
        <v>59.015917723286009</v>
      </c>
      <c r="E7" s="3" t="s">
        <v>151</v>
      </c>
      <c r="G7" s="5">
        <f>Ergebnisse!L1</f>
        <v>4</v>
      </c>
    </row>
    <row r="8" spans="1:12" x14ac:dyDescent="0.2">
      <c r="A8" s="4"/>
      <c r="D8" s="8"/>
    </row>
    <row r="9" spans="1:12" ht="14.25" x14ac:dyDescent="0.2">
      <c r="A9" s="3" t="s">
        <v>285</v>
      </c>
      <c r="B9" s="5">
        <v>136.80000000000001</v>
      </c>
      <c r="C9" s="3" t="s">
        <v>150</v>
      </c>
      <c r="D9" s="8">
        <f t="shared" si="0"/>
        <v>38</v>
      </c>
      <c r="E9" s="3" t="s">
        <v>151</v>
      </c>
    </row>
    <row r="10" spans="1:12" ht="14.25" x14ac:dyDescent="0.2">
      <c r="A10" s="3" t="s">
        <v>286</v>
      </c>
      <c r="B10" s="2">
        <v>108</v>
      </c>
      <c r="C10" s="3" t="s">
        <v>150</v>
      </c>
      <c r="D10" s="8">
        <f t="shared" si="0"/>
        <v>30</v>
      </c>
      <c r="E10" s="3" t="s">
        <v>151</v>
      </c>
    </row>
    <row r="11" spans="1:12" x14ac:dyDescent="0.2">
      <c r="A11" s="3" t="s">
        <v>287</v>
      </c>
      <c r="C11" s="3"/>
      <c r="D11" s="8">
        <f>Verbrauch!B21/3.6+15</f>
        <v>40.403999999999996</v>
      </c>
      <c r="E11" s="3" t="s">
        <v>276</v>
      </c>
      <c r="H11" s="2" t="s">
        <v>312</v>
      </c>
    </row>
    <row r="12" spans="1:12" x14ac:dyDescent="0.2">
      <c r="A12" s="4"/>
      <c r="B12" s="12"/>
      <c r="C12" s="4"/>
    </row>
    <row r="15" spans="1:12" x14ac:dyDescent="0.2">
      <c r="A15" s="4"/>
    </row>
    <row r="18" spans="1:5" x14ac:dyDescent="0.2">
      <c r="A18" s="4"/>
      <c r="B18" s="12"/>
      <c r="C18" s="4"/>
    </row>
    <row r="21" spans="1:5" x14ac:dyDescent="0.2">
      <c r="A21" s="3"/>
    </row>
    <row r="22" spans="1:5" x14ac:dyDescent="0.2">
      <c r="A22" s="4"/>
      <c r="B22" s="12"/>
      <c r="C22" s="4"/>
      <c r="E22" s="10"/>
    </row>
  </sheetData>
  <customSheetViews>
    <customSheetView guid="{BFD0A862-FF9D-4229-ADD0-2A37AEA5AF1F}" state="hidden">
      <selection activeCell="B32" sqref="B32"/>
      <pageMargins left="0.25" right="0.25" top="0.75" bottom="0.75" header="0.3" footer="0.3"/>
      <pageSetup paperSize="9" scale="80" orientation="portrait" r:id="rId1"/>
      <headerFooter>
        <oddFooter>&amp;LMichael Eschmann, Markus Markstaler&amp;RInstitut für Energiesysteme</oddFooter>
      </headerFooter>
    </customSheetView>
    <customSheetView guid="{11DD1BF8-C577-48F3-8516-9D608BF5BCA7}" state="hidden">
      <selection activeCell="L42" sqref="L42"/>
      <pageMargins left="0.25" right="0.25" top="0.75" bottom="0.75" header="0.3" footer="0.3"/>
      <pageSetup paperSize="9" scale="80" orientation="portrait" r:id="rId2"/>
      <headerFooter>
        <oddFooter>&amp;LMichael Eschmann, Markus Markstaler&amp;RInstitut für Energiesysteme</oddFooter>
      </headerFooter>
    </customSheetView>
  </customSheetViews>
  <phoneticPr fontId="21" type="noConversion"/>
  <pageMargins left="0.25" right="0.25" top="0.75" bottom="0.75" header="0.3" footer="0.3"/>
  <pageSetup paperSize="9" scale="80" orientation="portrait" r:id="rId3"/>
  <headerFooter>
    <oddFooter>&amp;LMichael Eschmann, Markus Markstaler&amp;RInstitut für Energiesysteme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tabColor rgb="FFFF0000"/>
    <pageSetUpPr fitToPage="1"/>
  </sheetPr>
  <dimension ref="A1:IV121"/>
  <sheetViews>
    <sheetView workbookViewId="0">
      <pane ySplit="2" topLeftCell="A24" activePane="bottomLeft" state="frozen"/>
      <selection pane="bottomLeft" activeCell="F39" sqref="F39"/>
    </sheetView>
  </sheetViews>
  <sheetFormatPr baseColWidth="10" defaultRowHeight="12.75" x14ac:dyDescent="0.2"/>
  <cols>
    <col min="1" max="1" width="41.28515625" style="113" bestFit="1" customWidth="1"/>
    <col min="2" max="2" width="46.7109375" style="140" customWidth="1"/>
    <col min="3" max="3" width="17.85546875" style="131" bestFit="1" customWidth="1"/>
    <col min="4" max="4" width="11.42578125" style="113" bestFit="1"/>
    <col min="5" max="16384" width="11.42578125" style="113"/>
  </cols>
  <sheetData>
    <row r="1" spans="1:4" ht="18" x14ac:dyDescent="0.25">
      <c r="A1" s="129" t="s">
        <v>507</v>
      </c>
      <c r="B1" s="140" t="s">
        <v>466</v>
      </c>
    </row>
    <row r="2" spans="1:4" s="130" customFormat="1" ht="21.75" customHeight="1" x14ac:dyDescent="0.2">
      <c r="A2" s="130" t="s">
        <v>373</v>
      </c>
      <c r="B2" s="141" t="s">
        <v>374</v>
      </c>
      <c r="C2" s="157" t="s">
        <v>375</v>
      </c>
      <c r="D2" s="130" t="s">
        <v>376</v>
      </c>
    </row>
    <row r="3" spans="1:4" x14ac:dyDescent="0.2">
      <c r="A3" s="112" t="s">
        <v>158</v>
      </c>
      <c r="B3" s="142" t="s">
        <v>306</v>
      </c>
      <c r="C3" s="114"/>
      <c r="D3" s="113" t="s">
        <v>377</v>
      </c>
    </row>
    <row r="4" spans="1:4" x14ac:dyDescent="0.2">
      <c r="A4" s="112" t="s">
        <v>455</v>
      </c>
      <c r="B4" s="143">
        <v>40</v>
      </c>
      <c r="C4" s="114" t="s">
        <v>34</v>
      </c>
      <c r="D4" s="113" t="s">
        <v>377</v>
      </c>
    </row>
    <row r="5" spans="1:4" x14ac:dyDescent="0.2">
      <c r="A5" s="113" t="s">
        <v>33</v>
      </c>
      <c r="B5" s="145">
        <v>2.4</v>
      </c>
      <c r="C5" s="131" t="s">
        <v>34</v>
      </c>
      <c r="D5" s="113" t="s">
        <v>377</v>
      </c>
    </row>
    <row r="6" spans="1:4" x14ac:dyDescent="0.2">
      <c r="A6" s="112" t="s">
        <v>167</v>
      </c>
      <c r="B6" s="146">
        <v>2</v>
      </c>
      <c r="D6" s="113" t="s">
        <v>377</v>
      </c>
    </row>
    <row r="7" spans="1:4" ht="14.25" x14ac:dyDescent="0.2">
      <c r="A7" s="113" t="s">
        <v>0</v>
      </c>
      <c r="B7" s="144">
        <v>150</v>
      </c>
      <c r="C7" s="131" t="s">
        <v>1</v>
      </c>
      <c r="D7" s="113" t="s">
        <v>377</v>
      </c>
    </row>
    <row r="8" spans="1:4" x14ac:dyDescent="0.2">
      <c r="A8" s="112" t="s">
        <v>76</v>
      </c>
      <c r="B8" s="147">
        <v>4</v>
      </c>
      <c r="C8" s="114"/>
      <c r="D8" s="113" t="s">
        <v>377</v>
      </c>
    </row>
    <row r="9" spans="1:4" x14ac:dyDescent="0.2">
      <c r="A9" s="112" t="s">
        <v>152</v>
      </c>
      <c r="B9" s="147">
        <v>20</v>
      </c>
      <c r="C9" s="114" t="s">
        <v>2</v>
      </c>
      <c r="D9" s="113" t="s">
        <v>377</v>
      </c>
    </row>
    <row r="10" spans="1:4" x14ac:dyDescent="0.2">
      <c r="A10" s="112" t="s">
        <v>71</v>
      </c>
      <c r="B10" s="147">
        <v>20</v>
      </c>
      <c r="C10" s="114" t="s">
        <v>67</v>
      </c>
      <c r="D10" s="113" t="s">
        <v>377</v>
      </c>
    </row>
    <row r="11" spans="1:4" x14ac:dyDescent="0.2">
      <c r="A11" s="112" t="s">
        <v>72</v>
      </c>
      <c r="B11" s="118">
        <v>0.04</v>
      </c>
      <c r="C11" s="114"/>
      <c r="D11" s="113" t="s">
        <v>377</v>
      </c>
    </row>
    <row r="12" spans="1:4" x14ac:dyDescent="0.2">
      <c r="A12" s="112" t="s">
        <v>323</v>
      </c>
      <c r="B12" s="142">
        <v>0</v>
      </c>
      <c r="C12" s="114" t="s">
        <v>196</v>
      </c>
      <c r="D12" s="113" t="s">
        <v>377</v>
      </c>
    </row>
    <row r="13" spans="1:4" x14ac:dyDescent="0.2">
      <c r="A13" s="112" t="s">
        <v>322</v>
      </c>
      <c r="B13" s="142" t="s">
        <v>194</v>
      </c>
      <c r="C13" s="114"/>
      <c r="D13" s="113" t="s">
        <v>377</v>
      </c>
    </row>
    <row r="14" spans="1:4" x14ac:dyDescent="0.2">
      <c r="A14" s="112" t="s">
        <v>359</v>
      </c>
      <c r="B14" s="140">
        <v>0.17</v>
      </c>
      <c r="C14" s="114" t="s">
        <v>186</v>
      </c>
      <c r="D14" s="113" t="s">
        <v>377</v>
      </c>
    </row>
    <row r="15" spans="1:4" x14ac:dyDescent="0.2">
      <c r="A15" s="112" t="s">
        <v>54</v>
      </c>
      <c r="B15" s="140">
        <v>350</v>
      </c>
      <c r="C15" s="114" t="s">
        <v>185</v>
      </c>
      <c r="D15" s="113" t="s">
        <v>377</v>
      </c>
    </row>
    <row r="16" spans="1:4" x14ac:dyDescent="0.2">
      <c r="A16" s="112" t="s">
        <v>73</v>
      </c>
      <c r="B16" s="140">
        <v>0.98</v>
      </c>
      <c r="C16" s="114" t="s">
        <v>360</v>
      </c>
      <c r="D16" s="113" t="s">
        <v>377</v>
      </c>
    </row>
    <row r="17" spans="1:4" x14ac:dyDescent="0.2">
      <c r="A17" s="112" t="s">
        <v>74</v>
      </c>
      <c r="B17" s="140">
        <v>80</v>
      </c>
      <c r="C17" s="114" t="s">
        <v>361</v>
      </c>
      <c r="D17" s="113" t="s">
        <v>377</v>
      </c>
    </row>
    <row r="18" spans="1:4" x14ac:dyDescent="0.2">
      <c r="A18" s="112" t="s">
        <v>362</v>
      </c>
      <c r="B18" s="140">
        <v>30.1</v>
      </c>
      <c r="C18" s="114" t="s">
        <v>225</v>
      </c>
      <c r="D18" s="113" t="s">
        <v>377</v>
      </c>
    </row>
    <row r="19" spans="1:4" x14ac:dyDescent="0.2">
      <c r="A19" s="112" t="s">
        <v>363</v>
      </c>
      <c r="B19" s="140">
        <v>60.3</v>
      </c>
      <c r="C19" s="114" t="s">
        <v>225</v>
      </c>
      <c r="D19" s="113" t="s">
        <v>377</v>
      </c>
    </row>
    <row r="20" spans="1:4" x14ac:dyDescent="0.2">
      <c r="A20" s="112" t="s">
        <v>364</v>
      </c>
      <c r="B20" s="140">
        <v>53.6</v>
      </c>
      <c r="C20" s="114" t="s">
        <v>225</v>
      </c>
      <c r="D20" s="113" t="s">
        <v>377</v>
      </c>
    </row>
    <row r="21" spans="1:4" x14ac:dyDescent="0.2">
      <c r="A21" s="112" t="s">
        <v>365</v>
      </c>
      <c r="B21" s="140">
        <v>56.2</v>
      </c>
      <c r="C21" s="114" t="s">
        <v>225</v>
      </c>
      <c r="D21" s="113" t="s">
        <v>377</v>
      </c>
    </row>
    <row r="22" spans="1:4" x14ac:dyDescent="0.2">
      <c r="A22" s="112" t="s">
        <v>366</v>
      </c>
      <c r="B22" s="140">
        <v>35</v>
      </c>
      <c r="C22" s="114" t="s">
        <v>368</v>
      </c>
      <c r="D22" s="113" t="s">
        <v>377</v>
      </c>
    </row>
    <row r="23" spans="1:4" x14ac:dyDescent="0.2">
      <c r="A23" s="112" t="s">
        <v>369</v>
      </c>
      <c r="B23" s="140">
        <v>0</v>
      </c>
      <c r="C23" s="114" t="s">
        <v>225</v>
      </c>
      <c r="D23" s="113" t="s">
        <v>377</v>
      </c>
    </row>
    <row r="24" spans="1:4" x14ac:dyDescent="0.2">
      <c r="A24" s="112" t="s">
        <v>370</v>
      </c>
      <c r="B24" s="140">
        <v>15</v>
      </c>
      <c r="C24" s="114" t="s">
        <v>225</v>
      </c>
      <c r="D24" s="113" t="s">
        <v>377</v>
      </c>
    </row>
    <row r="25" spans="1:4" x14ac:dyDescent="0.2">
      <c r="A25" s="112" t="s">
        <v>371</v>
      </c>
      <c r="B25" s="140">
        <v>15</v>
      </c>
      <c r="C25" s="114" t="s">
        <v>225</v>
      </c>
      <c r="D25" s="113" t="s">
        <v>377</v>
      </c>
    </row>
    <row r="26" spans="1:4" x14ac:dyDescent="0.2">
      <c r="A26" s="112" t="s">
        <v>372</v>
      </c>
      <c r="B26" s="140">
        <v>15</v>
      </c>
      <c r="C26" s="114" t="s">
        <v>225</v>
      </c>
      <c r="D26" s="113" t="s">
        <v>377</v>
      </c>
    </row>
    <row r="27" spans="1:4" x14ac:dyDescent="0.2">
      <c r="A27" s="112" t="s">
        <v>367</v>
      </c>
      <c r="B27" s="140">
        <v>60</v>
      </c>
      <c r="C27" s="114" t="s">
        <v>368</v>
      </c>
      <c r="D27" s="113" t="s">
        <v>377</v>
      </c>
    </row>
    <row r="28" spans="1:4" ht="14.25" x14ac:dyDescent="0.2">
      <c r="A28" s="112" t="s">
        <v>386</v>
      </c>
      <c r="B28" s="148">
        <v>0.2</v>
      </c>
      <c r="C28" s="131" t="s">
        <v>5</v>
      </c>
      <c r="D28" s="115" t="s">
        <v>396</v>
      </c>
    </row>
    <row r="29" spans="1:4" ht="14.25" x14ac:dyDescent="0.2">
      <c r="A29" s="112" t="s">
        <v>387</v>
      </c>
      <c r="B29" s="148">
        <v>0.2</v>
      </c>
      <c r="C29" s="131" t="s">
        <v>5</v>
      </c>
      <c r="D29" s="115" t="s">
        <v>396</v>
      </c>
    </row>
    <row r="30" spans="1:4" ht="14.25" x14ac:dyDescent="0.2">
      <c r="A30" s="112" t="s">
        <v>388</v>
      </c>
      <c r="B30" s="148">
        <v>1.3</v>
      </c>
      <c r="C30" s="131" t="s">
        <v>5</v>
      </c>
      <c r="D30" s="115" t="s">
        <v>396</v>
      </c>
    </row>
    <row r="31" spans="1:4" ht="14.25" x14ac:dyDescent="0.2">
      <c r="A31" s="112" t="s">
        <v>389</v>
      </c>
      <c r="B31" s="134">
        <v>2</v>
      </c>
      <c r="C31" s="131" t="s">
        <v>1</v>
      </c>
      <c r="D31" s="115" t="s">
        <v>396</v>
      </c>
    </row>
    <row r="32" spans="1:4" ht="14.25" x14ac:dyDescent="0.2">
      <c r="A32" s="112" t="s">
        <v>390</v>
      </c>
      <c r="B32" s="134">
        <v>7</v>
      </c>
      <c r="C32" s="131" t="s">
        <v>1</v>
      </c>
      <c r="D32" s="115" t="s">
        <v>396</v>
      </c>
    </row>
    <row r="33" spans="1:6" ht="14.25" x14ac:dyDescent="0.2">
      <c r="A33" s="112" t="s">
        <v>391</v>
      </c>
      <c r="B33" s="148">
        <v>1.3</v>
      </c>
      <c r="C33" s="131" t="s">
        <v>5</v>
      </c>
      <c r="D33" s="115" t="s">
        <v>396</v>
      </c>
    </row>
    <row r="34" spans="1:6" x14ac:dyDescent="0.2">
      <c r="A34" s="112" t="s">
        <v>392</v>
      </c>
      <c r="B34" s="148">
        <v>0.55000000000000004</v>
      </c>
      <c r="D34" s="115" t="s">
        <v>396</v>
      </c>
    </row>
    <row r="35" spans="1:6" ht="14.25" x14ac:dyDescent="0.2">
      <c r="A35" s="112" t="s">
        <v>393</v>
      </c>
      <c r="B35" s="134">
        <v>10</v>
      </c>
      <c r="C35" s="131" t="s">
        <v>1</v>
      </c>
      <c r="D35" s="115" t="s">
        <v>396</v>
      </c>
    </row>
    <row r="36" spans="1:6" ht="14.25" x14ac:dyDescent="0.2">
      <c r="A36" s="112" t="s">
        <v>394</v>
      </c>
      <c r="B36" s="148">
        <v>1.3</v>
      </c>
      <c r="C36" s="131" t="s">
        <v>5</v>
      </c>
      <c r="D36" s="115" t="s">
        <v>396</v>
      </c>
    </row>
    <row r="37" spans="1:6" ht="14.25" x14ac:dyDescent="0.2">
      <c r="A37" s="112" t="s">
        <v>395</v>
      </c>
      <c r="B37" s="134">
        <v>3</v>
      </c>
      <c r="C37" s="131" t="s">
        <v>1</v>
      </c>
      <c r="D37" s="115" t="s">
        <v>396</v>
      </c>
    </row>
    <row r="38" spans="1:6" ht="14.25" x14ac:dyDescent="0.2">
      <c r="A38" s="112" t="s">
        <v>378</v>
      </c>
      <c r="B38" s="148">
        <v>0.28000000000000003</v>
      </c>
      <c r="C38" s="131" t="s">
        <v>5</v>
      </c>
      <c r="D38" s="115" t="s">
        <v>396</v>
      </c>
    </row>
    <row r="39" spans="1:6" ht="14.25" x14ac:dyDescent="0.2">
      <c r="A39" s="112" t="s">
        <v>379</v>
      </c>
      <c r="B39" s="134">
        <v>7</v>
      </c>
      <c r="C39" s="131" t="s">
        <v>1</v>
      </c>
      <c r="D39" s="115" t="s">
        <v>396</v>
      </c>
      <c r="F39" s="235"/>
    </row>
    <row r="40" spans="1:6" ht="14.25" x14ac:dyDescent="0.2">
      <c r="A40" s="112" t="s">
        <v>380</v>
      </c>
      <c r="B40" s="148">
        <v>0.28000000000000003</v>
      </c>
      <c r="C40" s="131" t="s">
        <v>5</v>
      </c>
      <c r="D40" s="115" t="s">
        <v>396</v>
      </c>
    </row>
    <row r="41" spans="1:6" ht="14.25" x14ac:dyDescent="0.2">
      <c r="A41" s="112" t="s">
        <v>381</v>
      </c>
      <c r="B41" s="149">
        <v>1.6</v>
      </c>
      <c r="C41" s="131" t="s">
        <v>5</v>
      </c>
      <c r="D41" s="115" t="s">
        <v>396</v>
      </c>
    </row>
    <row r="42" spans="1:6" x14ac:dyDescent="0.2">
      <c r="A42" s="112" t="s">
        <v>382</v>
      </c>
      <c r="B42" s="148">
        <v>0.55000000000000004</v>
      </c>
      <c r="D42" s="115" t="s">
        <v>396</v>
      </c>
    </row>
    <row r="43" spans="1:6" ht="14.25" x14ac:dyDescent="0.2">
      <c r="A43" s="112" t="s">
        <v>383</v>
      </c>
      <c r="B43" s="134">
        <v>0</v>
      </c>
      <c r="C43" s="131" t="s">
        <v>1</v>
      </c>
      <c r="D43" s="115" t="s">
        <v>396</v>
      </c>
    </row>
    <row r="44" spans="1:6" ht="14.25" x14ac:dyDescent="0.2">
      <c r="A44" s="112" t="s">
        <v>384</v>
      </c>
      <c r="B44" s="148">
        <v>1.6</v>
      </c>
      <c r="C44" s="131" t="s">
        <v>5</v>
      </c>
      <c r="D44" s="115" t="s">
        <v>396</v>
      </c>
    </row>
    <row r="45" spans="1:6" ht="14.25" x14ac:dyDescent="0.2">
      <c r="A45" s="112" t="s">
        <v>385</v>
      </c>
      <c r="B45" s="134">
        <v>0</v>
      </c>
      <c r="C45" s="131" t="s">
        <v>1</v>
      </c>
      <c r="D45" s="115" t="s">
        <v>396</v>
      </c>
    </row>
    <row r="46" spans="1:6" s="112" customFormat="1" x14ac:dyDescent="0.2">
      <c r="A46" s="112" t="s">
        <v>58</v>
      </c>
      <c r="B46" s="147">
        <v>0.17</v>
      </c>
      <c r="C46" s="114" t="s">
        <v>124</v>
      </c>
      <c r="D46" s="115" t="s">
        <v>401</v>
      </c>
    </row>
    <row r="47" spans="1:6" s="112" customFormat="1" x14ac:dyDescent="0.2">
      <c r="A47" s="112" t="s">
        <v>91</v>
      </c>
      <c r="B47" s="116">
        <v>110</v>
      </c>
      <c r="C47" s="114" t="s">
        <v>94</v>
      </c>
      <c r="D47" s="115" t="s">
        <v>401</v>
      </c>
    </row>
    <row r="48" spans="1:6" s="112" customFormat="1" x14ac:dyDescent="0.2">
      <c r="A48" s="112" t="s">
        <v>51</v>
      </c>
      <c r="B48" s="116">
        <v>10000</v>
      </c>
      <c r="C48" s="114" t="s">
        <v>52</v>
      </c>
      <c r="D48" s="115" t="s">
        <v>401</v>
      </c>
    </row>
    <row r="49" spans="1:256" s="112" customFormat="1" x14ac:dyDescent="0.2">
      <c r="A49" s="112" t="s">
        <v>53</v>
      </c>
      <c r="B49" s="116">
        <v>5200</v>
      </c>
      <c r="C49" s="114" t="s">
        <v>52</v>
      </c>
      <c r="D49" s="115" t="s">
        <v>401</v>
      </c>
    </row>
    <row r="50" spans="1:256" s="112" customFormat="1" x14ac:dyDescent="0.2">
      <c r="A50" s="112" t="s">
        <v>82</v>
      </c>
      <c r="B50" s="116">
        <v>4600</v>
      </c>
      <c r="C50" s="114" t="s">
        <v>52</v>
      </c>
      <c r="D50" s="115" t="s">
        <v>401</v>
      </c>
    </row>
    <row r="51" spans="1:256" s="112" customFormat="1" x14ac:dyDescent="0.2">
      <c r="A51" s="117" t="s">
        <v>175</v>
      </c>
      <c r="B51" s="116">
        <v>2500</v>
      </c>
      <c r="C51" s="114" t="s">
        <v>52</v>
      </c>
      <c r="D51" s="115" t="s">
        <v>401</v>
      </c>
    </row>
    <row r="52" spans="1:256" s="112" customFormat="1" x14ac:dyDescent="0.2">
      <c r="A52" s="209" t="s">
        <v>51</v>
      </c>
      <c r="B52" s="210">
        <v>14000</v>
      </c>
      <c r="C52" s="114" t="s">
        <v>52</v>
      </c>
      <c r="D52" s="115" t="s">
        <v>401</v>
      </c>
      <c r="E52" s="209"/>
      <c r="F52" s="210"/>
      <c r="G52" s="209"/>
      <c r="H52" s="210"/>
      <c r="I52" s="209"/>
      <c r="J52" s="210"/>
      <c r="K52" s="209"/>
      <c r="L52" s="210"/>
      <c r="M52" s="209"/>
      <c r="N52" s="210"/>
      <c r="O52" s="209"/>
      <c r="P52" s="210"/>
      <c r="Q52" s="209"/>
      <c r="R52" s="210"/>
      <c r="S52" s="209"/>
      <c r="T52" s="210"/>
      <c r="U52" s="209"/>
      <c r="V52" s="210"/>
      <c r="W52" s="209"/>
      <c r="X52" s="210"/>
      <c r="Y52" s="209"/>
      <c r="Z52" s="210"/>
      <c r="AA52" s="209"/>
      <c r="AB52" s="210"/>
      <c r="AC52" s="209"/>
      <c r="AD52" s="210"/>
      <c r="AE52" s="209"/>
      <c r="AF52" s="210"/>
      <c r="AG52" s="209"/>
      <c r="AH52" s="210"/>
      <c r="AI52" s="209"/>
      <c r="AJ52" s="210"/>
      <c r="AK52" s="209"/>
      <c r="AL52" s="210"/>
      <c r="AM52" s="209"/>
      <c r="AN52" s="210"/>
      <c r="AO52" s="209"/>
      <c r="AP52" s="210"/>
      <c r="AQ52" s="209"/>
      <c r="AR52" s="210"/>
      <c r="AS52" s="209"/>
      <c r="AT52" s="210"/>
      <c r="AU52" s="209"/>
      <c r="AV52" s="210"/>
      <c r="AW52" s="209"/>
      <c r="AX52" s="210"/>
      <c r="AY52" s="209"/>
      <c r="AZ52" s="210"/>
      <c r="BA52" s="209"/>
      <c r="BB52" s="210"/>
      <c r="BC52" s="209"/>
      <c r="BD52" s="210"/>
      <c r="BE52" s="209"/>
      <c r="BF52" s="210"/>
      <c r="BG52" s="209"/>
      <c r="BH52" s="210"/>
      <c r="BI52" s="209"/>
      <c r="BJ52" s="210"/>
      <c r="BK52" s="209"/>
      <c r="BL52" s="210"/>
      <c r="BM52" s="209"/>
      <c r="BN52" s="210"/>
      <c r="BO52" s="209"/>
      <c r="BP52" s="210"/>
      <c r="BQ52" s="209"/>
      <c r="BR52" s="210"/>
      <c r="BS52" s="209"/>
      <c r="BT52" s="210"/>
      <c r="BU52" s="209"/>
      <c r="BV52" s="210"/>
      <c r="BW52" s="209"/>
      <c r="BX52" s="210"/>
      <c r="BY52" s="209"/>
      <c r="BZ52" s="210"/>
      <c r="CA52" s="209"/>
      <c r="CB52" s="210"/>
      <c r="CC52" s="209"/>
      <c r="CD52" s="210"/>
      <c r="CE52" s="209"/>
      <c r="CF52" s="210"/>
      <c r="CG52" s="209"/>
      <c r="CH52" s="210"/>
      <c r="CI52" s="209"/>
      <c r="CJ52" s="210"/>
      <c r="CK52" s="209"/>
      <c r="CL52" s="210"/>
      <c r="CM52" s="209"/>
      <c r="CN52" s="210"/>
      <c r="CO52" s="209"/>
      <c r="CP52" s="210"/>
      <c r="CQ52" s="209"/>
      <c r="CR52" s="210"/>
      <c r="CS52" s="209"/>
      <c r="CT52" s="210"/>
      <c r="CU52" s="209"/>
      <c r="CV52" s="210"/>
      <c r="CW52" s="209"/>
      <c r="CX52" s="210"/>
      <c r="CY52" s="209"/>
      <c r="CZ52" s="210"/>
      <c r="DA52" s="209"/>
      <c r="DB52" s="210"/>
      <c r="DC52" s="209"/>
      <c r="DD52" s="210"/>
      <c r="DE52" s="209"/>
      <c r="DF52" s="210"/>
      <c r="DG52" s="209"/>
      <c r="DH52" s="210"/>
      <c r="DI52" s="209"/>
      <c r="DJ52" s="210"/>
      <c r="DK52" s="209"/>
      <c r="DL52" s="210"/>
      <c r="DM52" s="209"/>
      <c r="DN52" s="210"/>
      <c r="DO52" s="209"/>
      <c r="DP52" s="210"/>
      <c r="DQ52" s="209"/>
      <c r="DR52" s="210"/>
      <c r="DS52" s="209"/>
      <c r="DT52" s="210"/>
      <c r="DU52" s="209"/>
      <c r="DV52" s="210"/>
      <c r="DW52" s="209"/>
      <c r="DX52" s="210"/>
      <c r="DY52" s="209"/>
      <c r="DZ52" s="210"/>
      <c r="EA52" s="209"/>
      <c r="EB52" s="210"/>
      <c r="EC52" s="209"/>
      <c r="ED52" s="210"/>
      <c r="EE52" s="209"/>
      <c r="EF52" s="210"/>
      <c r="EG52" s="209"/>
      <c r="EH52" s="210"/>
      <c r="EI52" s="209"/>
      <c r="EJ52" s="210"/>
      <c r="EK52" s="209"/>
      <c r="EL52" s="210"/>
      <c r="EM52" s="209"/>
      <c r="EN52" s="210"/>
      <c r="EO52" s="209"/>
      <c r="EP52" s="210"/>
      <c r="EQ52" s="209"/>
      <c r="ER52" s="210"/>
      <c r="ES52" s="209"/>
      <c r="ET52" s="210"/>
      <c r="EU52" s="209"/>
      <c r="EV52" s="210"/>
      <c r="EW52" s="209"/>
      <c r="EX52" s="210"/>
      <c r="EY52" s="209"/>
      <c r="EZ52" s="210"/>
      <c r="FA52" s="209"/>
      <c r="FB52" s="210"/>
      <c r="FC52" s="209"/>
      <c r="FD52" s="210"/>
      <c r="FE52" s="209"/>
      <c r="FF52" s="210"/>
      <c r="FG52" s="209"/>
      <c r="FH52" s="210"/>
      <c r="FI52" s="209"/>
      <c r="FJ52" s="210"/>
      <c r="FK52" s="209"/>
      <c r="FL52" s="210"/>
      <c r="FM52" s="209"/>
      <c r="FN52" s="210"/>
      <c r="FO52" s="209"/>
      <c r="FP52" s="210"/>
      <c r="FQ52" s="209"/>
      <c r="FR52" s="210"/>
      <c r="FS52" s="209"/>
      <c r="FT52" s="210"/>
      <c r="FU52" s="209"/>
      <c r="FV52" s="210"/>
      <c r="FW52" s="209"/>
      <c r="FX52" s="210"/>
      <c r="FY52" s="209"/>
      <c r="FZ52" s="210"/>
      <c r="GA52" s="209"/>
      <c r="GB52" s="210"/>
      <c r="GC52" s="209"/>
      <c r="GD52" s="210"/>
      <c r="GE52" s="209"/>
      <c r="GF52" s="210"/>
      <c r="GG52" s="209"/>
      <c r="GH52" s="210"/>
      <c r="GI52" s="209"/>
      <c r="GJ52" s="210"/>
      <c r="GK52" s="209"/>
      <c r="GL52" s="210"/>
      <c r="GM52" s="209"/>
      <c r="GN52" s="210"/>
      <c r="GO52" s="209"/>
      <c r="GP52" s="210"/>
      <c r="GQ52" s="209"/>
      <c r="GR52" s="210"/>
      <c r="GS52" s="209"/>
      <c r="GT52" s="210"/>
      <c r="GU52" s="209"/>
      <c r="GV52" s="210"/>
      <c r="GW52" s="209"/>
      <c r="GX52" s="210"/>
      <c r="GY52" s="209"/>
      <c r="GZ52" s="210"/>
      <c r="HA52" s="209"/>
      <c r="HB52" s="210"/>
      <c r="HC52" s="209"/>
      <c r="HD52" s="210"/>
      <c r="HE52" s="209"/>
      <c r="HF52" s="210"/>
      <c r="HG52" s="209"/>
      <c r="HH52" s="210"/>
      <c r="HI52" s="209"/>
      <c r="HJ52" s="210"/>
      <c r="HK52" s="209"/>
      <c r="HL52" s="210"/>
      <c r="HM52" s="209"/>
      <c r="HN52" s="210"/>
      <c r="HO52" s="209"/>
      <c r="HP52" s="210"/>
      <c r="HQ52" s="209"/>
      <c r="HR52" s="210"/>
      <c r="HS52" s="209"/>
      <c r="HT52" s="210"/>
      <c r="HU52" s="209"/>
      <c r="HV52" s="210"/>
      <c r="HW52" s="209"/>
      <c r="HX52" s="210"/>
      <c r="HY52" s="209"/>
      <c r="HZ52" s="210"/>
      <c r="IA52" s="209"/>
      <c r="IB52" s="210"/>
      <c r="IC52" s="209"/>
      <c r="ID52" s="210"/>
      <c r="IE52" s="209"/>
      <c r="IF52" s="210"/>
      <c r="IG52" s="209"/>
      <c r="IH52" s="210"/>
      <c r="II52" s="209"/>
      <c r="IJ52" s="210"/>
      <c r="IK52" s="209"/>
      <c r="IL52" s="210"/>
      <c r="IM52" s="209"/>
      <c r="IN52" s="210"/>
      <c r="IO52" s="209"/>
      <c r="IP52" s="210"/>
      <c r="IQ52" s="209"/>
      <c r="IR52" s="210"/>
      <c r="IS52" s="209"/>
      <c r="IT52" s="210"/>
      <c r="IU52" s="209"/>
      <c r="IV52" s="210"/>
    </row>
    <row r="53" spans="1:256" s="112" customFormat="1" x14ac:dyDescent="0.2">
      <c r="A53" s="209" t="s">
        <v>82</v>
      </c>
      <c r="B53" s="210">
        <v>4600</v>
      </c>
      <c r="C53" s="114" t="s">
        <v>52</v>
      </c>
      <c r="D53" s="115" t="s">
        <v>401</v>
      </c>
      <c r="E53" s="209"/>
      <c r="F53" s="210"/>
      <c r="G53" s="209"/>
      <c r="H53" s="210"/>
      <c r="I53" s="209"/>
      <c r="J53" s="210"/>
      <c r="K53" s="209"/>
      <c r="L53" s="210"/>
      <c r="M53" s="209"/>
      <c r="N53" s="210"/>
      <c r="O53" s="209"/>
      <c r="P53" s="210"/>
      <c r="Q53" s="209"/>
      <c r="R53" s="210"/>
      <c r="S53" s="209"/>
      <c r="T53" s="210"/>
      <c r="U53" s="209"/>
      <c r="V53" s="210"/>
      <c r="W53" s="209"/>
      <c r="X53" s="210"/>
      <c r="Y53" s="209"/>
      <c r="Z53" s="210"/>
      <c r="AA53" s="209"/>
      <c r="AB53" s="210"/>
      <c r="AC53" s="209"/>
      <c r="AD53" s="210"/>
      <c r="AE53" s="209"/>
      <c r="AF53" s="210"/>
      <c r="AG53" s="209"/>
      <c r="AH53" s="210"/>
      <c r="AI53" s="209"/>
      <c r="AJ53" s="210"/>
      <c r="AK53" s="209"/>
      <c r="AL53" s="210"/>
      <c r="AM53" s="209"/>
      <c r="AN53" s="210"/>
      <c r="AO53" s="209"/>
      <c r="AP53" s="210"/>
      <c r="AQ53" s="209"/>
      <c r="AR53" s="210"/>
      <c r="AS53" s="209"/>
      <c r="AT53" s="210"/>
      <c r="AU53" s="209"/>
      <c r="AV53" s="210"/>
      <c r="AW53" s="209"/>
      <c r="AX53" s="210"/>
      <c r="AY53" s="209"/>
      <c r="AZ53" s="210"/>
      <c r="BA53" s="209"/>
      <c r="BB53" s="210"/>
      <c r="BC53" s="209"/>
      <c r="BD53" s="210"/>
      <c r="BE53" s="209"/>
      <c r="BF53" s="210"/>
      <c r="BG53" s="209"/>
      <c r="BH53" s="210"/>
      <c r="BI53" s="209"/>
      <c r="BJ53" s="210"/>
      <c r="BK53" s="209"/>
      <c r="BL53" s="210"/>
      <c r="BM53" s="209"/>
      <c r="BN53" s="210"/>
      <c r="BO53" s="209"/>
      <c r="BP53" s="210"/>
      <c r="BQ53" s="209"/>
      <c r="BR53" s="210"/>
      <c r="BS53" s="209"/>
      <c r="BT53" s="210"/>
      <c r="BU53" s="209"/>
      <c r="BV53" s="210"/>
      <c r="BW53" s="209"/>
      <c r="BX53" s="210"/>
      <c r="BY53" s="209"/>
      <c r="BZ53" s="210"/>
      <c r="CA53" s="209"/>
      <c r="CB53" s="210"/>
      <c r="CC53" s="209"/>
      <c r="CD53" s="210"/>
      <c r="CE53" s="209"/>
      <c r="CF53" s="210"/>
      <c r="CG53" s="209"/>
      <c r="CH53" s="210"/>
      <c r="CI53" s="209"/>
      <c r="CJ53" s="210"/>
      <c r="CK53" s="209"/>
      <c r="CL53" s="210"/>
      <c r="CM53" s="209"/>
      <c r="CN53" s="210"/>
      <c r="CO53" s="209"/>
      <c r="CP53" s="210"/>
      <c r="CQ53" s="209"/>
      <c r="CR53" s="210"/>
      <c r="CS53" s="209"/>
      <c r="CT53" s="210"/>
      <c r="CU53" s="209"/>
      <c r="CV53" s="210"/>
      <c r="CW53" s="209"/>
      <c r="CX53" s="210"/>
      <c r="CY53" s="209"/>
      <c r="CZ53" s="210"/>
      <c r="DA53" s="209"/>
      <c r="DB53" s="210"/>
      <c r="DC53" s="209"/>
      <c r="DD53" s="210"/>
      <c r="DE53" s="209"/>
      <c r="DF53" s="210"/>
      <c r="DG53" s="209"/>
      <c r="DH53" s="210"/>
      <c r="DI53" s="209"/>
      <c r="DJ53" s="210"/>
      <c r="DK53" s="209"/>
      <c r="DL53" s="210"/>
      <c r="DM53" s="209"/>
      <c r="DN53" s="210"/>
      <c r="DO53" s="209"/>
      <c r="DP53" s="210"/>
      <c r="DQ53" s="209"/>
      <c r="DR53" s="210"/>
      <c r="DS53" s="209"/>
      <c r="DT53" s="210"/>
      <c r="DU53" s="209"/>
      <c r="DV53" s="210"/>
      <c r="DW53" s="209"/>
      <c r="DX53" s="210"/>
      <c r="DY53" s="209"/>
      <c r="DZ53" s="210"/>
      <c r="EA53" s="209"/>
      <c r="EB53" s="210"/>
      <c r="EC53" s="209"/>
      <c r="ED53" s="210"/>
      <c r="EE53" s="209"/>
      <c r="EF53" s="210"/>
      <c r="EG53" s="209"/>
      <c r="EH53" s="210"/>
      <c r="EI53" s="209"/>
      <c r="EJ53" s="210"/>
      <c r="EK53" s="209"/>
      <c r="EL53" s="210"/>
      <c r="EM53" s="209"/>
      <c r="EN53" s="210"/>
      <c r="EO53" s="209"/>
      <c r="EP53" s="210"/>
      <c r="EQ53" s="209"/>
      <c r="ER53" s="210"/>
      <c r="ES53" s="209"/>
      <c r="ET53" s="210"/>
      <c r="EU53" s="209"/>
      <c r="EV53" s="210"/>
      <c r="EW53" s="209"/>
      <c r="EX53" s="210"/>
      <c r="EY53" s="209"/>
      <c r="EZ53" s="210"/>
      <c r="FA53" s="209"/>
      <c r="FB53" s="210"/>
      <c r="FC53" s="209"/>
      <c r="FD53" s="210"/>
      <c r="FE53" s="209"/>
      <c r="FF53" s="210"/>
      <c r="FG53" s="209"/>
      <c r="FH53" s="210"/>
      <c r="FI53" s="209"/>
      <c r="FJ53" s="210"/>
      <c r="FK53" s="209"/>
      <c r="FL53" s="210"/>
      <c r="FM53" s="209"/>
      <c r="FN53" s="210"/>
      <c r="FO53" s="209"/>
      <c r="FP53" s="210"/>
      <c r="FQ53" s="209"/>
      <c r="FR53" s="210"/>
      <c r="FS53" s="209"/>
      <c r="FT53" s="210"/>
      <c r="FU53" s="209"/>
      <c r="FV53" s="210"/>
      <c r="FW53" s="209"/>
      <c r="FX53" s="210"/>
      <c r="FY53" s="209"/>
      <c r="FZ53" s="210"/>
      <c r="GA53" s="209"/>
      <c r="GB53" s="210"/>
      <c r="GC53" s="209"/>
      <c r="GD53" s="210"/>
      <c r="GE53" s="209"/>
      <c r="GF53" s="210"/>
      <c r="GG53" s="209"/>
      <c r="GH53" s="210"/>
      <c r="GI53" s="209"/>
      <c r="GJ53" s="210"/>
      <c r="GK53" s="209"/>
      <c r="GL53" s="210"/>
      <c r="GM53" s="209"/>
      <c r="GN53" s="210"/>
      <c r="GO53" s="209"/>
      <c r="GP53" s="210"/>
      <c r="GQ53" s="209"/>
      <c r="GR53" s="210"/>
      <c r="GS53" s="209"/>
      <c r="GT53" s="210"/>
      <c r="GU53" s="209"/>
      <c r="GV53" s="210"/>
      <c r="GW53" s="209"/>
      <c r="GX53" s="210"/>
      <c r="GY53" s="209"/>
      <c r="GZ53" s="210"/>
      <c r="HA53" s="209"/>
      <c r="HB53" s="210"/>
      <c r="HC53" s="209"/>
      <c r="HD53" s="210"/>
      <c r="HE53" s="209"/>
      <c r="HF53" s="210"/>
      <c r="HG53" s="209"/>
      <c r="HH53" s="210"/>
      <c r="HI53" s="209"/>
      <c r="HJ53" s="210"/>
      <c r="HK53" s="209"/>
      <c r="HL53" s="210"/>
      <c r="HM53" s="209"/>
      <c r="HN53" s="210"/>
      <c r="HO53" s="209"/>
      <c r="HP53" s="210"/>
      <c r="HQ53" s="209"/>
      <c r="HR53" s="210"/>
      <c r="HS53" s="209"/>
      <c r="HT53" s="210"/>
      <c r="HU53" s="209"/>
      <c r="HV53" s="210"/>
      <c r="HW53" s="209"/>
      <c r="HX53" s="210"/>
      <c r="HY53" s="209"/>
      <c r="HZ53" s="210"/>
      <c r="IA53" s="209"/>
      <c r="IB53" s="210"/>
      <c r="IC53" s="209"/>
      <c r="ID53" s="210"/>
      <c r="IE53" s="209"/>
      <c r="IF53" s="210"/>
      <c r="IG53" s="209"/>
      <c r="IH53" s="210"/>
      <c r="II53" s="209"/>
      <c r="IJ53" s="210"/>
      <c r="IK53" s="209"/>
      <c r="IL53" s="210"/>
      <c r="IM53" s="209"/>
      <c r="IN53" s="210"/>
      <c r="IO53" s="209"/>
      <c r="IP53" s="210"/>
      <c r="IQ53" s="209"/>
      <c r="IR53" s="210"/>
      <c r="IS53" s="209"/>
      <c r="IT53" s="210"/>
      <c r="IU53" s="209"/>
      <c r="IV53" s="210"/>
    </row>
    <row r="54" spans="1:256" s="112" customFormat="1" x14ac:dyDescent="0.2">
      <c r="A54" s="209" t="s">
        <v>175</v>
      </c>
      <c r="B54" s="210">
        <v>2500</v>
      </c>
      <c r="C54" s="114" t="s">
        <v>52</v>
      </c>
      <c r="D54" s="115" t="s">
        <v>401</v>
      </c>
      <c r="E54" s="209"/>
      <c r="F54" s="210"/>
      <c r="G54" s="209"/>
      <c r="H54" s="210"/>
      <c r="I54" s="209"/>
      <c r="J54" s="210"/>
      <c r="K54" s="209"/>
      <c r="L54" s="210"/>
      <c r="M54" s="209"/>
      <c r="N54" s="210"/>
      <c r="O54" s="209"/>
      <c r="P54" s="210"/>
      <c r="Q54" s="209"/>
      <c r="R54" s="210"/>
      <c r="S54" s="209"/>
      <c r="T54" s="210"/>
      <c r="U54" s="209"/>
      <c r="V54" s="210"/>
      <c r="W54" s="209"/>
      <c r="X54" s="210"/>
      <c r="Y54" s="209"/>
      <c r="Z54" s="210"/>
      <c r="AA54" s="209"/>
      <c r="AB54" s="210"/>
      <c r="AC54" s="209"/>
      <c r="AD54" s="210"/>
      <c r="AE54" s="209"/>
      <c r="AF54" s="210"/>
      <c r="AG54" s="209"/>
      <c r="AH54" s="210"/>
      <c r="AI54" s="209"/>
      <c r="AJ54" s="210"/>
      <c r="AK54" s="209"/>
      <c r="AL54" s="210"/>
      <c r="AM54" s="209"/>
      <c r="AN54" s="210"/>
      <c r="AO54" s="209"/>
      <c r="AP54" s="210"/>
      <c r="AQ54" s="209"/>
      <c r="AR54" s="210"/>
      <c r="AS54" s="209"/>
      <c r="AT54" s="210"/>
      <c r="AU54" s="209"/>
      <c r="AV54" s="210"/>
      <c r="AW54" s="209"/>
      <c r="AX54" s="210"/>
      <c r="AY54" s="209"/>
      <c r="AZ54" s="210"/>
      <c r="BA54" s="209"/>
      <c r="BB54" s="210"/>
      <c r="BC54" s="209"/>
      <c r="BD54" s="210"/>
      <c r="BE54" s="209"/>
      <c r="BF54" s="210"/>
      <c r="BG54" s="209"/>
      <c r="BH54" s="210"/>
      <c r="BI54" s="209"/>
      <c r="BJ54" s="210"/>
      <c r="BK54" s="209"/>
      <c r="BL54" s="210"/>
      <c r="BM54" s="209"/>
      <c r="BN54" s="210"/>
      <c r="BO54" s="209"/>
      <c r="BP54" s="210"/>
      <c r="BQ54" s="209"/>
      <c r="BR54" s="210"/>
      <c r="BS54" s="209"/>
      <c r="BT54" s="210"/>
      <c r="BU54" s="209"/>
      <c r="BV54" s="210"/>
      <c r="BW54" s="209"/>
      <c r="BX54" s="210"/>
      <c r="BY54" s="209"/>
      <c r="BZ54" s="210"/>
      <c r="CA54" s="209"/>
      <c r="CB54" s="210"/>
      <c r="CC54" s="209"/>
      <c r="CD54" s="210"/>
      <c r="CE54" s="209"/>
      <c r="CF54" s="210"/>
      <c r="CG54" s="209"/>
      <c r="CH54" s="210"/>
      <c r="CI54" s="209"/>
      <c r="CJ54" s="210"/>
      <c r="CK54" s="209"/>
      <c r="CL54" s="210"/>
      <c r="CM54" s="209"/>
      <c r="CN54" s="210"/>
      <c r="CO54" s="209"/>
      <c r="CP54" s="210"/>
      <c r="CQ54" s="209"/>
      <c r="CR54" s="210"/>
      <c r="CS54" s="209"/>
      <c r="CT54" s="210"/>
      <c r="CU54" s="209"/>
      <c r="CV54" s="210"/>
      <c r="CW54" s="209"/>
      <c r="CX54" s="210"/>
      <c r="CY54" s="209"/>
      <c r="CZ54" s="210"/>
      <c r="DA54" s="209"/>
      <c r="DB54" s="210"/>
      <c r="DC54" s="209"/>
      <c r="DD54" s="210"/>
      <c r="DE54" s="209"/>
      <c r="DF54" s="210"/>
      <c r="DG54" s="209"/>
      <c r="DH54" s="210"/>
      <c r="DI54" s="209"/>
      <c r="DJ54" s="210"/>
      <c r="DK54" s="209"/>
      <c r="DL54" s="210"/>
      <c r="DM54" s="209"/>
      <c r="DN54" s="210"/>
      <c r="DO54" s="209"/>
      <c r="DP54" s="210"/>
      <c r="DQ54" s="209"/>
      <c r="DR54" s="210"/>
      <c r="DS54" s="209"/>
      <c r="DT54" s="210"/>
      <c r="DU54" s="209"/>
      <c r="DV54" s="210"/>
      <c r="DW54" s="209"/>
      <c r="DX54" s="210"/>
      <c r="DY54" s="209"/>
      <c r="DZ54" s="210"/>
      <c r="EA54" s="209"/>
      <c r="EB54" s="210"/>
      <c r="EC54" s="209"/>
      <c r="ED54" s="210"/>
      <c r="EE54" s="209"/>
      <c r="EF54" s="210"/>
      <c r="EG54" s="209"/>
      <c r="EH54" s="210"/>
      <c r="EI54" s="209"/>
      <c r="EJ54" s="210"/>
      <c r="EK54" s="209"/>
      <c r="EL54" s="210"/>
      <c r="EM54" s="209"/>
      <c r="EN54" s="210"/>
      <c r="EO54" s="209"/>
      <c r="EP54" s="210"/>
      <c r="EQ54" s="209"/>
      <c r="ER54" s="210"/>
      <c r="ES54" s="209"/>
      <c r="ET54" s="210"/>
      <c r="EU54" s="209"/>
      <c r="EV54" s="210"/>
      <c r="EW54" s="209"/>
      <c r="EX54" s="210"/>
      <c r="EY54" s="209"/>
      <c r="EZ54" s="210"/>
      <c r="FA54" s="209"/>
      <c r="FB54" s="210"/>
      <c r="FC54" s="209"/>
      <c r="FD54" s="210"/>
      <c r="FE54" s="209"/>
      <c r="FF54" s="210"/>
      <c r="FG54" s="209"/>
      <c r="FH54" s="210"/>
      <c r="FI54" s="209"/>
      <c r="FJ54" s="210"/>
      <c r="FK54" s="209"/>
      <c r="FL54" s="210"/>
      <c r="FM54" s="209"/>
      <c r="FN54" s="210"/>
      <c r="FO54" s="209"/>
      <c r="FP54" s="210"/>
      <c r="FQ54" s="209"/>
      <c r="FR54" s="210"/>
      <c r="FS54" s="209"/>
      <c r="FT54" s="210"/>
      <c r="FU54" s="209"/>
      <c r="FV54" s="210"/>
      <c r="FW54" s="209"/>
      <c r="FX54" s="210"/>
      <c r="FY54" s="209"/>
      <c r="FZ54" s="210"/>
      <c r="GA54" s="209"/>
      <c r="GB54" s="210"/>
      <c r="GC54" s="209"/>
      <c r="GD54" s="210"/>
      <c r="GE54" s="209"/>
      <c r="GF54" s="210"/>
      <c r="GG54" s="209"/>
      <c r="GH54" s="210"/>
      <c r="GI54" s="209"/>
      <c r="GJ54" s="210"/>
      <c r="GK54" s="209"/>
      <c r="GL54" s="210"/>
      <c r="GM54" s="209"/>
      <c r="GN54" s="210"/>
      <c r="GO54" s="209"/>
      <c r="GP54" s="210"/>
      <c r="GQ54" s="209"/>
      <c r="GR54" s="210"/>
      <c r="GS54" s="209"/>
      <c r="GT54" s="210"/>
      <c r="GU54" s="209"/>
      <c r="GV54" s="210"/>
      <c r="GW54" s="209"/>
      <c r="GX54" s="210"/>
      <c r="GY54" s="209"/>
      <c r="GZ54" s="210"/>
      <c r="HA54" s="209"/>
      <c r="HB54" s="210"/>
      <c r="HC54" s="209"/>
      <c r="HD54" s="210"/>
      <c r="HE54" s="209"/>
      <c r="HF54" s="210"/>
      <c r="HG54" s="209"/>
      <c r="HH54" s="210"/>
      <c r="HI54" s="209"/>
      <c r="HJ54" s="210"/>
      <c r="HK54" s="209"/>
      <c r="HL54" s="210"/>
      <c r="HM54" s="209"/>
      <c r="HN54" s="210"/>
      <c r="HO54" s="209"/>
      <c r="HP54" s="210"/>
      <c r="HQ54" s="209"/>
      <c r="HR54" s="210"/>
      <c r="HS54" s="209"/>
      <c r="HT54" s="210"/>
      <c r="HU54" s="209"/>
      <c r="HV54" s="210"/>
      <c r="HW54" s="209"/>
      <c r="HX54" s="210"/>
      <c r="HY54" s="209"/>
      <c r="HZ54" s="210"/>
      <c r="IA54" s="209"/>
      <c r="IB54" s="210"/>
      <c r="IC54" s="209"/>
      <c r="ID54" s="210"/>
      <c r="IE54" s="209"/>
      <c r="IF54" s="210"/>
      <c r="IG54" s="209"/>
      <c r="IH54" s="210"/>
      <c r="II54" s="209"/>
      <c r="IJ54" s="210"/>
      <c r="IK54" s="209"/>
      <c r="IL54" s="210"/>
      <c r="IM54" s="209"/>
      <c r="IN54" s="210"/>
      <c r="IO54" s="209"/>
      <c r="IP54" s="210"/>
      <c r="IQ54" s="209"/>
      <c r="IR54" s="210"/>
      <c r="IS54" s="209"/>
      <c r="IT54" s="210"/>
      <c r="IU54" s="209"/>
      <c r="IV54" s="210"/>
    </row>
    <row r="55" spans="1:256" s="112" customFormat="1" x14ac:dyDescent="0.2">
      <c r="A55" s="112" t="s">
        <v>147</v>
      </c>
      <c r="B55" s="116">
        <v>1</v>
      </c>
      <c r="C55" s="114" t="s">
        <v>52</v>
      </c>
      <c r="D55" s="115" t="s">
        <v>401</v>
      </c>
    </row>
    <row r="56" spans="1:256" s="112" customFormat="1" x14ac:dyDescent="0.2">
      <c r="A56" s="112" t="s">
        <v>80</v>
      </c>
      <c r="B56" s="116">
        <v>17000</v>
      </c>
      <c r="C56" s="114" t="s">
        <v>52</v>
      </c>
      <c r="D56" s="115" t="s">
        <v>401</v>
      </c>
    </row>
    <row r="57" spans="1:256" s="112" customFormat="1" x14ac:dyDescent="0.2">
      <c r="A57" s="112" t="s">
        <v>81</v>
      </c>
      <c r="B57" s="116">
        <v>0</v>
      </c>
      <c r="C57" s="114" t="s">
        <v>52</v>
      </c>
      <c r="D57" s="115" t="s">
        <v>401</v>
      </c>
    </row>
    <row r="58" spans="1:256" s="112" customFormat="1" x14ac:dyDescent="0.2">
      <c r="A58" s="112" t="s">
        <v>82</v>
      </c>
      <c r="B58" s="116">
        <v>4600</v>
      </c>
      <c r="C58" s="114" t="s">
        <v>52</v>
      </c>
      <c r="D58" s="115" t="s">
        <v>401</v>
      </c>
    </row>
    <row r="59" spans="1:256" s="112" customFormat="1" x14ac:dyDescent="0.2">
      <c r="A59" s="117" t="s">
        <v>175</v>
      </c>
      <c r="B59" s="116">
        <v>2500</v>
      </c>
      <c r="C59" s="114" t="s">
        <v>52</v>
      </c>
      <c r="D59" s="115" t="s">
        <v>401</v>
      </c>
    </row>
    <row r="60" spans="1:256" s="112" customFormat="1" x14ac:dyDescent="0.2">
      <c r="A60" s="112" t="s">
        <v>397</v>
      </c>
      <c r="B60" s="116">
        <v>400</v>
      </c>
      <c r="C60" s="114" t="s">
        <v>52</v>
      </c>
      <c r="D60" s="115" t="s">
        <v>401</v>
      </c>
    </row>
    <row r="61" spans="1:256" s="112" customFormat="1" x14ac:dyDescent="0.2">
      <c r="A61" s="112" t="s">
        <v>88</v>
      </c>
      <c r="B61" s="116">
        <v>5500</v>
      </c>
      <c r="C61" s="114" t="s">
        <v>52</v>
      </c>
      <c r="D61" s="115" t="s">
        <v>401</v>
      </c>
    </row>
    <row r="62" spans="1:256" s="112" customFormat="1" x14ac:dyDescent="0.2">
      <c r="A62" s="112" t="s">
        <v>399</v>
      </c>
      <c r="B62" s="116">
        <v>4600</v>
      </c>
      <c r="C62" s="114" t="s">
        <v>52</v>
      </c>
      <c r="D62" s="115" t="s">
        <v>401</v>
      </c>
    </row>
    <row r="63" spans="1:256" s="112" customFormat="1" x14ac:dyDescent="0.2">
      <c r="A63" s="112" t="s">
        <v>398</v>
      </c>
      <c r="B63" s="116">
        <v>400</v>
      </c>
      <c r="C63" s="114" t="s">
        <v>52</v>
      </c>
      <c r="D63" s="115" t="s">
        <v>401</v>
      </c>
    </row>
    <row r="64" spans="1:256" s="112" customFormat="1" x14ac:dyDescent="0.2">
      <c r="A64" s="112" t="s">
        <v>92</v>
      </c>
      <c r="B64" s="116">
        <v>10000</v>
      </c>
      <c r="C64" s="114" t="s">
        <v>52</v>
      </c>
      <c r="D64" s="115" t="s">
        <v>401</v>
      </c>
    </row>
    <row r="65" spans="1:256" s="112" customFormat="1" x14ac:dyDescent="0.2">
      <c r="A65" s="112" t="s">
        <v>82</v>
      </c>
      <c r="B65" s="116">
        <v>4600</v>
      </c>
      <c r="C65" s="114" t="s">
        <v>52</v>
      </c>
      <c r="D65" s="115" t="s">
        <v>401</v>
      </c>
    </row>
    <row r="66" spans="1:256" s="112" customFormat="1" x14ac:dyDescent="0.2">
      <c r="A66" s="112" t="s">
        <v>400</v>
      </c>
      <c r="B66" s="116">
        <v>400</v>
      </c>
      <c r="C66" s="114" t="s">
        <v>52</v>
      </c>
      <c r="D66" s="115" t="s">
        <v>401</v>
      </c>
    </row>
    <row r="67" spans="1:256" s="112" customFormat="1" ht="14.25" x14ac:dyDescent="0.2">
      <c r="A67" s="112" t="s">
        <v>99</v>
      </c>
      <c r="B67" s="116">
        <v>1500</v>
      </c>
      <c r="C67" s="114" t="s">
        <v>98</v>
      </c>
      <c r="D67" s="115" t="s">
        <v>401</v>
      </c>
    </row>
    <row r="68" spans="1:256" s="112" customFormat="1" x14ac:dyDescent="0.2">
      <c r="A68" s="112" t="s">
        <v>100</v>
      </c>
      <c r="B68" s="116">
        <v>7500</v>
      </c>
      <c r="C68" s="114" t="s">
        <v>101</v>
      </c>
      <c r="D68" s="115" t="s">
        <v>401</v>
      </c>
    </row>
    <row r="69" spans="1:256" s="112" customFormat="1" x14ac:dyDescent="0.2">
      <c r="A69" s="112" t="s">
        <v>161</v>
      </c>
      <c r="B69" s="116">
        <v>50</v>
      </c>
      <c r="C69" s="114" t="s">
        <v>103</v>
      </c>
      <c r="D69" s="115" t="s">
        <v>401</v>
      </c>
    </row>
    <row r="70" spans="1:256" s="112" customFormat="1" ht="11.25" customHeight="1" x14ac:dyDescent="0.2">
      <c r="A70" s="112" t="s">
        <v>102</v>
      </c>
      <c r="B70" s="118">
        <v>0.15</v>
      </c>
      <c r="C70" s="114" t="s">
        <v>104</v>
      </c>
      <c r="D70" s="115" t="s">
        <v>401</v>
      </c>
    </row>
    <row r="71" spans="1:256" s="112" customFormat="1" x14ac:dyDescent="0.2">
      <c r="A71" s="112" t="s">
        <v>402</v>
      </c>
      <c r="B71" s="119">
        <f>Ortsdaten!$B72</f>
        <v>0</v>
      </c>
      <c r="C71" s="114" t="s">
        <v>52</v>
      </c>
      <c r="D71" s="112" t="s">
        <v>406</v>
      </c>
    </row>
    <row r="72" spans="1:256" s="112" customFormat="1" x14ac:dyDescent="0.2">
      <c r="A72" s="112" t="s">
        <v>403</v>
      </c>
      <c r="B72" s="119">
        <f>IF(B80*Ortsdaten!$B70&gt;Ortsdaten!$B71,Ortsdaten!$B71,B80*Ortsdaten!$B70)</f>
        <v>0</v>
      </c>
      <c r="C72" s="114" t="s">
        <v>52</v>
      </c>
      <c r="D72" s="112" t="s">
        <v>406</v>
      </c>
    </row>
    <row r="73" spans="1:256" x14ac:dyDescent="0.2">
      <c r="A73" s="112" t="s">
        <v>404</v>
      </c>
      <c r="B73" s="150">
        <v>0</v>
      </c>
      <c r="C73" s="114" t="s">
        <v>52</v>
      </c>
      <c r="D73" s="112" t="s">
        <v>406</v>
      </c>
    </row>
    <row r="74" spans="1:256" x14ac:dyDescent="0.2">
      <c r="A74" s="112" t="s">
        <v>405</v>
      </c>
      <c r="B74" s="151">
        <v>0</v>
      </c>
      <c r="C74" s="114" t="s">
        <v>52</v>
      </c>
      <c r="D74" s="112" t="s">
        <v>406</v>
      </c>
    </row>
    <row r="75" spans="1:256" x14ac:dyDescent="0.2">
      <c r="A75" s="112" t="s">
        <v>114</v>
      </c>
      <c r="B75" s="134">
        <v>10</v>
      </c>
      <c r="C75" s="114" t="s">
        <v>2</v>
      </c>
      <c r="D75" s="112" t="s">
        <v>373</v>
      </c>
      <c r="E75" s="132"/>
      <c r="G75" s="133"/>
      <c r="H75" s="133"/>
      <c r="I75" s="133"/>
      <c r="J75" s="133"/>
      <c r="K75" s="133"/>
      <c r="L75" s="133"/>
      <c r="M75" s="133"/>
      <c r="N75" s="133"/>
    </row>
    <row r="76" spans="1:256" x14ac:dyDescent="0.2">
      <c r="A76" s="112" t="s">
        <v>115</v>
      </c>
      <c r="B76" s="134">
        <v>55</v>
      </c>
      <c r="C76" s="114" t="s">
        <v>2</v>
      </c>
      <c r="D76" s="112" t="s">
        <v>373</v>
      </c>
      <c r="E76" s="132"/>
      <c r="G76" s="133"/>
      <c r="H76" s="133"/>
      <c r="I76" s="133"/>
      <c r="J76" s="133"/>
      <c r="K76" s="133"/>
      <c r="L76" s="133"/>
      <c r="M76" s="133"/>
      <c r="N76" s="133"/>
    </row>
    <row r="77" spans="1:256" x14ac:dyDescent="0.2">
      <c r="A77" s="112" t="s">
        <v>77</v>
      </c>
      <c r="B77" s="134">
        <v>50</v>
      </c>
      <c r="C77" s="114" t="s">
        <v>188</v>
      </c>
      <c r="D77" s="112" t="s">
        <v>373</v>
      </c>
      <c r="E77" s="132"/>
      <c r="G77" s="133"/>
      <c r="H77" s="133"/>
      <c r="I77" s="133"/>
      <c r="J77" s="133"/>
      <c r="K77" s="133"/>
      <c r="L77" s="133"/>
      <c r="M77" s="133"/>
      <c r="N77" s="133"/>
    </row>
    <row r="78" spans="1:256" x14ac:dyDescent="0.2">
      <c r="A78" s="112" t="s">
        <v>407</v>
      </c>
      <c r="B78" s="145">
        <v>4</v>
      </c>
      <c r="D78" s="112" t="s">
        <v>373</v>
      </c>
      <c r="E78" s="132"/>
      <c r="G78" s="133"/>
      <c r="H78" s="133"/>
      <c r="I78" s="133"/>
      <c r="J78" s="135"/>
      <c r="K78" s="135"/>
      <c r="L78" s="135"/>
      <c r="M78" s="135"/>
      <c r="N78" s="133"/>
    </row>
    <row r="79" spans="1:256" x14ac:dyDescent="0.2">
      <c r="A79" s="112" t="s">
        <v>408</v>
      </c>
      <c r="B79" s="145">
        <v>3</v>
      </c>
      <c r="D79" s="112" t="s">
        <v>373</v>
      </c>
      <c r="E79" s="132"/>
      <c r="G79" s="133"/>
      <c r="H79" s="133"/>
      <c r="I79" s="133"/>
      <c r="J79" s="135"/>
      <c r="K79" s="135"/>
      <c r="L79" s="135"/>
      <c r="M79" s="135"/>
      <c r="N79" s="133"/>
    </row>
    <row r="80" spans="1:256" x14ac:dyDescent="0.2">
      <c r="A80" s="205" t="s">
        <v>458</v>
      </c>
      <c r="B80" s="206">
        <v>3.5</v>
      </c>
      <c r="C80" s="205"/>
      <c r="D80" s="112" t="s">
        <v>373</v>
      </c>
      <c r="E80" s="205"/>
      <c r="F80" s="206"/>
      <c r="G80" s="205"/>
      <c r="H80" s="206"/>
      <c r="I80" s="205"/>
      <c r="J80" s="206"/>
      <c r="K80" s="205"/>
      <c r="L80" s="206"/>
      <c r="M80" s="205"/>
      <c r="N80" s="206"/>
      <c r="O80" s="205"/>
      <c r="P80" s="206"/>
      <c r="Q80" s="205"/>
      <c r="R80" s="206"/>
      <c r="S80" s="205"/>
      <c r="T80" s="206"/>
      <c r="U80" s="205"/>
      <c r="V80" s="206"/>
      <c r="W80" s="205"/>
      <c r="X80" s="206"/>
      <c r="Y80" s="205"/>
      <c r="Z80" s="206"/>
      <c r="AA80" s="205"/>
      <c r="AB80" s="206"/>
      <c r="AC80" s="205"/>
      <c r="AD80" s="206"/>
      <c r="AE80" s="205"/>
      <c r="AF80" s="206"/>
      <c r="AG80" s="205"/>
      <c r="AH80" s="206"/>
      <c r="AI80" s="205"/>
      <c r="AJ80" s="206"/>
      <c r="AK80" s="205"/>
      <c r="AL80" s="206"/>
      <c r="AM80" s="205"/>
      <c r="AN80" s="206"/>
      <c r="AO80" s="205"/>
      <c r="AP80" s="206"/>
      <c r="AQ80" s="205"/>
      <c r="AR80" s="206"/>
      <c r="AS80" s="205"/>
      <c r="AT80" s="206"/>
      <c r="AU80" s="205"/>
      <c r="AV80" s="206"/>
      <c r="AW80" s="205"/>
      <c r="AX80" s="206"/>
      <c r="AY80" s="205"/>
      <c r="AZ80" s="206"/>
      <c r="BA80" s="205"/>
      <c r="BB80" s="206"/>
      <c r="BC80" s="205"/>
      <c r="BD80" s="206"/>
      <c r="BE80" s="205"/>
      <c r="BF80" s="206"/>
      <c r="BG80" s="205"/>
      <c r="BH80" s="206"/>
      <c r="BI80" s="205"/>
      <c r="BJ80" s="206"/>
      <c r="BK80" s="205"/>
      <c r="BL80" s="206"/>
      <c r="BM80" s="205"/>
      <c r="BN80" s="206"/>
      <c r="BO80" s="205"/>
      <c r="BP80" s="206"/>
      <c r="BQ80" s="205"/>
      <c r="BR80" s="206"/>
      <c r="BS80" s="205"/>
      <c r="BT80" s="206"/>
      <c r="BU80" s="205"/>
      <c r="BV80" s="206"/>
      <c r="BW80" s="205"/>
      <c r="BX80" s="206"/>
      <c r="BY80" s="205"/>
      <c r="BZ80" s="206"/>
      <c r="CA80" s="205"/>
      <c r="CB80" s="206"/>
      <c r="CC80" s="205"/>
      <c r="CD80" s="206"/>
      <c r="CE80" s="205"/>
      <c r="CF80" s="206"/>
      <c r="CG80" s="205"/>
      <c r="CH80" s="206"/>
      <c r="CI80" s="205"/>
      <c r="CJ80" s="206"/>
      <c r="CK80" s="205"/>
      <c r="CL80" s="206"/>
      <c r="CM80" s="205"/>
      <c r="CN80" s="206"/>
      <c r="CO80" s="205"/>
      <c r="CP80" s="206"/>
      <c r="CQ80" s="205"/>
      <c r="CR80" s="206"/>
      <c r="CS80" s="205"/>
      <c r="CT80" s="206"/>
      <c r="CU80" s="205"/>
      <c r="CV80" s="206"/>
      <c r="CW80" s="205"/>
      <c r="CX80" s="206"/>
      <c r="CY80" s="205"/>
      <c r="CZ80" s="206"/>
      <c r="DA80" s="205"/>
      <c r="DB80" s="206"/>
      <c r="DC80" s="205"/>
      <c r="DD80" s="206"/>
      <c r="DE80" s="205"/>
      <c r="DF80" s="206"/>
      <c r="DG80" s="205"/>
      <c r="DH80" s="206"/>
      <c r="DI80" s="205"/>
      <c r="DJ80" s="206"/>
      <c r="DK80" s="205"/>
      <c r="DL80" s="206"/>
      <c r="DM80" s="205"/>
      <c r="DN80" s="206"/>
      <c r="DO80" s="205"/>
      <c r="DP80" s="206"/>
      <c r="DQ80" s="205"/>
      <c r="DR80" s="206"/>
      <c r="DS80" s="205"/>
      <c r="DT80" s="206"/>
      <c r="DU80" s="205"/>
      <c r="DV80" s="206"/>
      <c r="DW80" s="205"/>
      <c r="DX80" s="206"/>
      <c r="DY80" s="205"/>
      <c r="DZ80" s="206"/>
      <c r="EA80" s="205"/>
      <c r="EB80" s="206"/>
      <c r="EC80" s="205"/>
      <c r="ED80" s="206"/>
      <c r="EE80" s="205"/>
      <c r="EF80" s="206"/>
      <c r="EG80" s="205"/>
      <c r="EH80" s="206"/>
      <c r="EI80" s="205"/>
      <c r="EJ80" s="206"/>
      <c r="EK80" s="205"/>
      <c r="EL80" s="206"/>
      <c r="EM80" s="205"/>
      <c r="EN80" s="206"/>
      <c r="EO80" s="205"/>
      <c r="EP80" s="206"/>
      <c r="EQ80" s="205"/>
      <c r="ER80" s="206"/>
      <c r="ES80" s="205"/>
      <c r="ET80" s="206"/>
      <c r="EU80" s="205"/>
      <c r="EV80" s="206"/>
      <c r="EW80" s="205"/>
      <c r="EX80" s="206"/>
      <c r="EY80" s="205"/>
      <c r="EZ80" s="206"/>
      <c r="FA80" s="205"/>
      <c r="FB80" s="206"/>
      <c r="FC80" s="205"/>
      <c r="FD80" s="206"/>
      <c r="FE80" s="205"/>
      <c r="FF80" s="206"/>
      <c r="FG80" s="205"/>
      <c r="FH80" s="206"/>
      <c r="FI80" s="205"/>
      <c r="FJ80" s="206"/>
      <c r="FK80" s="205"/>
      <c r="FL80" s="206"/>
      <c r="FM80" s="205"/>
      <c r="FN80" s="206"/>
      <c r="FO80" s="205"/>
      <c r="FP80" s="206"/>
      <c r="FQ80" s="205"/>
      <c r="FR80" s="206"/>
      <c r="FS80" s="205"/>
      <c r="FT80" s="206"/>
      <c r="FU80" s="205"/>
      <c r="FV80" s="206"/>
      <c r="FW80" s="205"/>
      <c r="FX80" s="206"/>
      <c r="FY80" s="205"/>
      <c r="FZ80" s="206"/>
      <c r="GA80" s="205"/>
      <c r="GB80" s="206"/>
      <c r="GC80" s="205"/>
      <c r="GD80" s="206"/>
      <c r="GE80" s="205"/>
      <c r="GF80" s="206"/>
      <c r="GG80" s="205"/>
      <c r="GH80" s="206"/>
      <c r="GI80" s="205"/>
      <c r="GJ80" s="206"/>
      <c r="GK80" s="205"/>
      <c r="GL80" s="206"/>
      <c r="GM80" s="205"/>
      <c r="GN80" s="206"/>
      <c r="GO80" s="205"/>
      <c r="GP80" s="206"/>
      <c r="GQ80" s="205"/>
      <c r="GR80" s="206"/>
      <c r="GS80" s="205"/>
      <c r="GT80" s="206"/>
      <c r="GU80" s="205"/>
      <c r="GV80" s="206"/>
      <c r="GW80" s="205"/>
      <c r="GX80" s="206"/>
      <c r="GY80" s="205"/>
      <c r="GZ80" s="206"/>
      <c r="HA80" s="205"/>
      <c r="HB80" s="206"/>
      <c r="HC80" s="205"/>
      <c r="HD80" s="206"/>
      <c r="HE80" s="205"/>
      <c r="HF80" s="206"/>
      <c r="HG80" s="205"/>
      <c r="HH80" s="206"/>
      <c r="HI80" s="205"/>
      <c r="HJ80" s="206"/>
      <c r="HK80" s="205"/>
      <c r="HL80" s="206"/>
      <c r="HM80" s="205"/>
      <c r="HN80" s="206"/>
      <c r="HO80" s="205"/>
      <c r="HP80" s="206"/>
      <c r="HQ80" s="205"/>
      <c r="HR80" s="206"/>
      <c r="HS80" s="205"/>
      <c r="HT80" s="206"/>
      <c r="HU80" s="205"/>
      <c r="HV80" s="206"/>
      <c r="HW80" s="205"/>
      <c r="HX80" s="206"/>
      <c r="HY80" s="205"/>
      <c r="HZ80" s="206"/>
      <c r="IA80" s="205"/>
      <c r="IB80" s="206"/>
      <c r="IC80" s="205"/>
      <c r="ID80" s="206"/>
      <c r="IE80" s="205"/>
      <c r="IF80" s="206"/>
      <c r="IG80" s="205"/>
      <c r="IH80" s="206"/>
      <c r="II80" s="205"/>
      <c r="IJ80" s="206"/>
      <c r="IK80" s="205"/>
      <c r="IL80" s="206"/>
      <c r="IM80" s="205"/>
      <c r="IN80" s="206"/>
      <c r="IO80" s="205"/>
      <c r="IP80" s="206"/>
      <c r="IQ80" s="205"/>
      <c r="IR80" s="206"/>
      <c r="IS80" s="205"/>
      <c r="IT80" s="206"/>
      <c r="IU80" s="205"/>
      <c r="IV80" s="206"/>
    </row>
    <row r="81" spans="1:256" x14ac:dyDescent="0.2">
      <c r="A81" s="205" t="s">
        <v>459</v>
      </c>
      <c r="B81" s="206">
        <v>2.7</v>
      </c>
      <c r="C81" s="205"/>
      <c r="D81" s="112" t="s">
        <v>373</v>
      </c>
      <c r="E81" s="205"/>
      <c r="F81" s="206"/>
      <c r="G81" s="205"/>
      <c r="H81" s="206"/>
      <c r="I81" s="205"/>
      <c r="J81" s="206"/>
      <c r="K81" s="205"/>
      <c r="L81" s="206"/>
      <c r="M81" s="205"/>
      <c r="N81" s="206"/>
      <c r="O81" s="205"/>
      <c r="P81" s="206"/>
      <c r="Q81" s="205"/>
      <c r="R81" s="206"/>
      <c r="S81" s="205"/>
      <c r="T81" s="206"/>
      <c r="U81" s="205"/>
      <c r="V81" s="206"/>
      <c r="W81" s="205"/>
      <c r="X81" s="206"/>
      <c r="Y81" s="205"/>
      <c r="Z81" s="206"/>
      <c r="AA81" s="205"/>
      <c r="AB81" s="206"/>
      <c r="AC81" s="205"/>
      <c r="AD81" s="206"/>
      <c r="AE81" s="205"/>
      <c r="AF81" s="206"/>
      <c r="AG81" s="205"/>
      <c r="AH81" s="206"/>
      <c r="AI81" s="205"/>
      <c r="AJ81" s="206"/>
      <c r="AK81" s="205"/>
      <c r="AL81" s="206"/>
      <c r="AM81" s="205"/>
      <c r="AN81" s="206"/>
      <c r="AO81" s="205"/>
      <c r="AP81" s="206"/>
      <c r="AQ81" s="205"/>
      <c r="AR81" s="206"/>
      <c r="AS81" s="205"/>
      <c r="AT81" s="206"/>
      <c r="AU81" s="205"/>
      <c r="AV81" s="206"/>
      <c r="AW81" s="205"/>
      <c r="AX81" s="206"/>
      <c r="AY81" s="205"/>
      <c r="AZ81" s="206"/>
      <c r="BA81" s="205"/>
      <c r="BB81" s="206"/>
      <c r="BC81" s="205"/>
      <c r="BD81" s="206"/>
      <c r="BE81" s="205"/>
      <c r="BF81" s="206"/>
      <c r="BG81" s="205"/>
      <c r="BH81" s="206"/>
      <c r="BI81" s="205"/>
      <c r="BJ81" s="206"/>
      <c r="BK81" s="205"/>
      <c r="BL81" s="206"/>
      <c r="BM81" s="205"/>
      <c r="BN81" s="206"/>
      <c r="BO81" s="205"/>
      <c r="BP81" s="206"/>
      <c r="BQ81" s="205"/>
      <c r="BR81" s="206"/>
      <c r="BS81" s="205"/>
      <c r="BT81" s="206"/>
      <c r="BU81" s="205"/>
      <c r="BV81" s="206"/>
      <c r="BW81" s="205"/>
      <c r="BX81" s="206"/>
      <c r="BY81" s="205"/>
      <c r="BZ81" s="206"/>
      <c r="CA81" s="205"/>
      <c r="CB81" s="206"/>
      <c r="CC81" s="205"/>
      <c r="CD81" s="206"/>
      <c r="CE81" s="205"/>
      <c r="CF81" s="206"/>
      <c r="CG81" s="205"/>
      <c r="CH81" s="206"/>
      <c r="CI81" s="205"/>
      <c r="CJ81" s="206"/>
      <c r="CK81" s="205"/>
      <c r="CL81" s="206"/>
      <c r="CM81" s="205"/>
      <c r="CN81" s="206"/>
      <c r="CO81" s="205"/>
      <c r="CP81" s="206"/>
      <c r="CQ81" s="205"/>
      <c r="CR81" s="206"/>
      <c r="CS81" s="205"/>
      <c r="CT81" s="206"/>
      <c r="CU81" s="205"/>
      <c r="CV81" s="206"/>
      <c r="CW81" s="205"/>
      <c r="CX81" s="206"/>
      <c r="CY81" s="205"/>
      <c r="CZ81" s="206"/>
      <c r="DA81" s="205"/>
      <c r="DB81" s="206"/>
      <c r="DC81" s="205"/>
      <c r="DD81" s="206"/>
      <c r="DE81" s="205"/>
      <c r="DF81" s="206"/>
      <c r="DG81" s="205"/>
      <c r="DH81" s="206"/>
      <c r="DI81" s="205"/>
      <c r="DJ81" s="206"/>
      <c r="DK81" s="205"/>
      <c r="DL81" s="206"/>
      <c r="DM81" s="205"/>
      <c r="DN81" s="206"/>
      <c r="DO81" s="205"/>
      <c r="DP81" s="206"/>
      <c r="DQ81" s="205"/>
      <c r="DR81" s="206"/>
      <c r="DS81" s="205"/>
      <c r="DT81" s="206"/>
      <c r="DU81" s="205"/>
      <c r="DV81" s="206"/>
      <c r="DW81" s="205"/>
      <c r="DX81" s="206"/>
      <c r="DY81" s="205"/>
      <c r="DZ81" s="206"/>
      <c r="EA81" s="205"/>
      <c r="EB81" s="206"/>
      <c r="EC81" s="205"/>
      <c r="ED81" s="206"/>
      <c r="EE81" s="205"/>
      <c r="EF81" s="206"/>
      <c r="EG81" s="205"/>
      <c r="EH81" s="206"/>
      <c r="EI81" s="205"/>
      <c r="EJ81" s="206"/>
      <c r="EK81" s="205"/>
      <c r="EL81" s="206"/>
      <c r="EM81" s="205"/>
      <c r="EN81" s="206"/>
      <c r="EO81" s="205"/>
      <c r="EP81" s="206"/>
      <c r="EQ81" s="205"/>
      <c r="ER81" s="206"/>
      <c r="ES81" s="205"/>
      <c r="ET81" s="206"/>
      <c r="EU81" s="205"/>
      <c r="EV81" s="206"/>
      <c r="EW81" s="205"/>
      <c r="EX81" s="206"/>
      <c r="EY81" s="205"/>
      <c r="EZ81" s="206"/>
      <c r="FA81" s="205"/>
      <c r="FB81" s="206"/>
      <c r="FC81" s="205"/>
      <c r="FD81" s="206"/>
      <c r="FE81" s="205"/>
      <c r="FF81" s="206"/>
      <c r="FG81" s="205"/>
      <c r="FH81" s="206"/>
      <c r="FI81" s="205"/>
      <c r="FJ81" s="206"/>
      <c r="FK81" s="205"/>
      <c r="FL81" s="206"/>
      <c r="FM81" s="205"/>
      <c r="FN81" s="206"/>
      <c r="FO81" s="205"/>
      <c r="FP81" s="206"/>
      <c r="FQ81" s="205"/>
      <c r="FR81" s="206"/>
      <c r="FS81" s="205"/>
      <c r="FT81" s="206"/>
      <c r="FU81" s="205"/>
      <c r="FV81" s="206"/>
      <c r="FW81" s="205"/>
      <c r="FX81" s="206"/>
      <c r="FY81" s="205"/>
      <c r="FZ81" s="206"/>
      <c r="GA81" s="205"/>
      <c r="GB81" s="206"/>
      <c r="GC81" s="205"/>
      <c r="GD81" s="206"/>
      <c r="GE81" s="205"/>
      <c r="GF81" s="206"/>
      <c r="GG81" s="205"/>
      <c r="GH81" s="206"/>
      <c r="GI81" s="205"/>
      <c r="GJ81" s="206"/>
      <c r="GK81" s="205"/>
      <c r="GL81" s="206"/>
      <c r="GM81" s="205"/>
      <c r="GN81" s="206"/>
      <c r="GO81" s="205"/>
      <c r="GP81" s="206"/>
      <c r="GQ81" s="205"/>
      <c r="GR81" s="206"/>
      <c r="GS81" s="205"/>
      <c r="GT81" s="206"/>
      <c r="GU81" s="205"/>
      <c r="GV81" s="206"/>
      <c r="GW81" s="205"/>
      <c r="GX81" s="206"/>
      <c r="GY81" s="205"/>
      <c r="GZ81" s="206"/>
      <c r="HA81" s="205"/>
      <c r="HB81" s="206"/>
      <c r="HC81" s="205"/>
      <c r="HD81" s="206"/>
      <c r="HE81" s="205"/>
      <c r="HF81" s="206"/>
      <c r="HG81" s="205"/>
      <c r="HH81" s="206"/>
      <c r="HI81" s="205"/>
      <c r="HJ81" s="206"/>
      <c r="HK81" s="205"/>
      <c r="HL81" s="206"/>
      <c r="HM81" s="205"/>
      <c r="HN81" s="206"/>
      <c r="HO81" s="205"/>
      <c r="HP81" s="206"/>
      <c r="HQ81" s="205"/>
      <c r="HR81" s="206"/>
      <c r="HS81" s="205"/>
      <c r="HT81" s="206"/>
      <c r="HU81" s="205"/>
      <c r="HV81" s="206"/>
      <c r="HW81" s="205"/>
      <c r="HX81" s="206"/>
      <c r="HY81" s="205"/>
      <c r="HZ81" s="206"/>
      <c r="IA81" s="205"/>
      <c r="IB81" s="206"/>
      <c r="IC81" s="205"/>
      <c r="ID81" s="206"/>
      <c r="IE81" s="205"/>
      <c r="IF81" s="206"/>
      <c r="IG81" s="205"/>
      <c r="IH81" s="206"/>
      <c r="II81" s="205"/>
      <c r="IJ81" s="206"/>
      <c r="IK81" s="205"/>
      <c r="IL81" s="206"/>
      <c r="IM81" s="205"/>
      <c r="IN81" s="206"/>
      <c r="IO81" s="205"/>
      <c r="IP81" s="206"/>
      <c r="IQ81" s="205"/>
      <c r="IR81" s="206"/>
      <c r="IS81" s="205"/>
      <c r="IT81" s="206"/>
      <c r="IU81" s="205"/>
      <c r="IV81" s="206"/>
    </row>
    <row r="82" spans="1:256" x14ac:dyDescent="0.2">
      <c r="A82" s="112" t="s">
        <v>415</v>
      </c>
      <c r="B82" s="134">
        <v>360</v>
      </c>
      <c r="C82" s="114" t="s">
        <v>131</v>
      </c>
      <c r="D82" s="112" t="s">
        <v>373</v>
      </c>
      <c r="E82" s="132"/>
      <c r="G82" s="133"/>
      <c r="H82" s="133"/>
      <c r="I82" s="133"/>
      <c r="J82" s="133"/>
      <c r="K82" s="133"/>
      <c r="L82" s="133"/>
      <c r="M82" s="133"/>
      <c r="N82" s="133"/>
    </row>
    <row r="83" spans="1:256" x14ac:dyDescent="0.2">
      <c r="A83" s="112" t="s">
        <v>132</v>
      </c>
      <c r="B83" s="152">
        <v>0.95</v>
      </c>
      <c r="D83" s="112" t="s">
        <v>373</v>
      </c>
      <c r="E83" s="132"/>
      <c r="G83" s="133"/>
      <c r="H83" s="133"/>
      <c r="I83" s="133"/>
      <c r="J83" s="133"/>
      <c r="K83" s="133"/>
      <c r="L83" s="133"/>
      <c r="M83" s="133"/>
      <c r="N83" s="133"/>
    </row>
    <row r="84" spans="1:256" x14ac:dyDescent="0.2">
      <c r="A84" s="112" t="s">
        <v>409</v>
      </c>
      <c r="B84" s="152">
        <v>0.9</v>
      </c>
      <c r="D84" s="112" t="s">
        <v>373</v>
      </c>
      <c r="E84" s="132"/>
      <c r="G84" s="133"/>
      <c r="H84" s="133"/>
      <c r="I84" s="133"/>
      <c r="J84" s="133"/>
      <c r="K84" s="133"/>
      <c r="L84" s="133"/>
      <c r="M84" s="133"/>
      <c r="N84" s="133"/>
    </row>
    <row r="85" spans="1:256" x14ac:dyDescent="0.2">
      <c r="A85" s="112" t="s">
        <v>410</v>
      </c>
      <c r="B85" s="153">
        <v>0.14000000000000001</v>
      </c>
      <c r="D85" s="112" t="s">
        <v>373</v>
      </c>
      <c r="E85" s="132"/>
      <c r="G85" s="133"/>
      <c r="H85" s="133"/>
      <c r="I85" s="133"/>
      <c r="J85" s="133"/>
      <c r="K85" s="133"/>
      <c r="L85" s="133"/>
      <c r="M85" s="133"/>
      <c r="N85" s="133"/>
    </row>
    <row r="86" spans="1:256" ht="15.75" x14ac:dyDescent="0.3">
      <c r="A86" s="112" t="s">
        <v>411</v>
      </c>
      <c r="B86" s="134">
        <v>140</v>
      </c>
      <c r="C86" s="114" t="s">
        <v>155</v>
      </c>
      <c r="D86" s="112" t="s">
        <v>373</v>
      </c>
      <c r="E86" s="112"/>
      <c r="G86" s="133"/>
      <c r="H86" s="133"/>
      <c r="I86" s="133"/>
      <c r="J86" s="133"/>
      <c r="K86" s="133"/>
      <c r="L86" s="133"/>
      <c r="M86" s="133"/>
      <c r="N86" s="133"/>
    </row>
    <row r="87" spans="1:256" ht="15.75" x14ac:dyDescent="0.3">
      <c r="A87" s="112" t="s">
        <v>412</v>
      </c>
      <c r="B87" s="134">
        <v>0</v>
      </c>
      <c r="C87" s="114" t="s">
        <v>154</v>
      </c>
      <c r="D87" s="112" t="s">
        <v>373</v>
      </c>
      <c r="G87" s="133"/>
      <c r="H87" s="133"/>
      <c r="I87" s="133"/>
      <c r="J87" s="133"/>
      <c r="K87" s="133"/>
      <c r="L87" s="133"/>
      <c r="M87" s="133"/>
      <c r="N87" s="133"/>
    </row>
    <row r="88" spans="1:256" ht="15.75" x14ac:dyDescent="0.3">
      <c r="A88" s="112" t="s">
        <v>413</v>
      </c>
      <c r="B88" s="134">
        <v>75</v>
      </c>
      <c r="C88" s="114" t="s">
        <v>154</v>
      </c>
      <c r="D88" s="112" t="s">
        <v>373</v>
      </c>
      <c r="G88" s="133"/>
      <c r="H88" s="133"/>
      <c r="I88" s="133"/>
      <c r="J88" s="133"/>
      <c r="K88" s="133"/>
      <c r="L88" s="133"/>
      <c r="M88" s="133"/>
      <c r="N88" s="133"/>
    </row>
    <row r="89" spans="1:256" ht="15.75" x14ac:dyDescent="0.3">
      <c r="A89" s="112" t="s">
        <v>414</v>
      </c>
      <c r="B89" s="134">
        <v>90</v>
      </c>
      <c r="C89" s="114" t="s">
        <v>154</v>
      </c>
      <c r="D89" s="112" t="s">
        <v>373</v>
      </c>
      <c r="G89" s="133"/>
      <c r="H89" s="133"/>
      <c r="I89" s="133"/>
      <c r="J89" s="133"/>
      <c r="K89" s="133"/>
      <c r="L89" s="133"/>
      <c r="M89" s="133"/>
      <c r="N89" s="133"/>
    </row>
    <row r="90" spans="1:256" x14ac:dyDescent="0.2">
      <c r="A90" s="113" t="s">
        <v>454</v>
      </c>
      <c r="B90" s="140">
        <v>0.3</v>
      </c>
      <c r="C90" s="131" t="s">
        <v>31</v>
      </c>
      <c r="D90" s="112" t="s">
        <v>373</v>
      </c>
      <c r="G90" s="133"/>
      <c r="H90" s="133"/>
      <c r="I90" s="133"/>
      <c r="J90" s="133"/>
      <c r="K90" s="133"/>
      <c r="L90" s="133"/>
      <c r="M90" s="133"/>
      <c r="N90" s="133"/>
    </row>
    <row r="91" spans="1:256" x14ac:dyDescent="0.2">
      <c r="A91" s="113" t="s">
        <v>35</v>
      </c>
      <c r="B91" s="140">
        <v>0.75</v>
      </c>
      <c r="D91" s="112" t="s">
        <v>373</v>
      </c>
      <c r="G91" s="133"/>
      <c r="H91" s="133"/>
      <c r="I91" s="133"/>
      <c r="J91" s="133"/>
      <c r="K91" s="133"/>
      <c r="L91" s="133"/>
      <c r="M91" s="133"/>
      <c r="N91" s="133"/>
    </row>
    <row r="92" spans="1:256" x14ac:dyDescent="0.2">
      <c r="A92" s="112" t="s">
        <v>118</v>
      </c>
      <c r="B92" s="140">
        <v>835</v>
      </c>
      <c r="C92" s="114" t="s">
        <v>117</v>
      </c>
      <c r="D92" s="112" t="s">
        <v>373</v>
      </c>
      <c r="G92" s="133"/>
      <c r="H92" s="133"/>
      <c r="I92" s="133"/>
      <c r="J92" s="133"/>
      <c r="K92" s="133"/>
      <c r="L92" s="133"/>
      <c r="M92" s="133"/>
      <c r="N92" s="133"/>
    </row>
    <row r="93" spans="1:256" x14ac:dyDescent="0.2">
      <c r="A93" s="112" t="s">
        <v>416</v>
      </c>
      <c r="B93" s="142">
        <v>1.6</v>
      </c>
      <c r="C93" s="114" t="s">
        <v>34</v>
      </c>
      <c r="D93" s="112" t="s">
        <v>425</v>
      </c>
    </row>
    <row r="94" spans="1:256" x14ac:dyDescent="0.2">
      <c r="A94" s="112" t="s">
        <v>417</v>
      </c>
      <c r="B94" s="142">
        <v>1</v>
      </c>
      <c r="C94" s="114" t="s">
        <v>34</v>
      </c>
      <c r="D94" s="112" t="s">
        <v>425</v>
      </c>
    </row>
    <row r="95" spans="1:256" x14ac:dyDescent="0.2">
      <c r="A95" s="112" t="s">
        <v>418</v>
      </c>
      <c r="B95" s="140">
        <f>90-47.13-23.45</f>
        <v>19.419999999999998</v>
      </c>
      <c r="C95" s="114" t="s">
        <v>368</v>
      </c>
      <c r="D95" s="112" t="s">
        <v>425</v>
      </c>
      <c r="G95" s="112"/>
    </row>
    <row r="96" spans="1:256" x14ac:dyDescent="0.2">
      <c r="A96" s="112" t="s">
        <v>423</v>
      </c>
      <c r="B96" s="154" t="s">
        <v>419</v>
      </c>
      <c r="C96" s="158"/>
      <c r="D96" s="112" t="s">
        <v>425</v>
      </c>
      <c r="E96" s="136"/>
      <c r="G96" s="112"/>
    </row>
    <row r="97" spans="1:7" x14ac:dyDescent="0.2">
      <c r="A97" s="112" t="s">
        <v>421</v>
      </c>
      <c r="B97" s="150" t="s">
        <v>420</v>
      </c>
      <c r="C97" s="159"/>
      <c r="D97" s="112" t="s">
        <v>425</v>
      </c>
      <c r="E97" s="137"/>
    </row>
    <row r="98" spans="1:7" x14ac:dyDescent="0.2">
      <c r="A98" s="112" t="s">
        <v>229</v>
      </c>
      <c r="B98" s="155">
        <v>600</v>
      </c>
      <c r="C98" s="160" t="s">
        <v>426</v>
      </c>
      <c r="D98" s="112" t="s">
        <v>425</v>
      </c>
      <c r="E98" s="138"/>
      <c r="G98" s="112"/>
    </row>
    <row r="99" spans="1:7" x14ac:dyDescent="0.2">
      <c r="A99" s="112" t="s">
        <v>422</v>
      </c>
      <c r="B99" s="154" t="s">
        <v>424</v>
      </c>
      <c r="C99" s="161"/>
      <c r="D99" s="112" t="s">
        <v>425</v>
      </c>
      <c r="E99" s="139"/>
    </row>
    <row r="100" spans="1:7" x14ac:dyDescent="0.2">
      <c r="A100" s="112" t="s">
        <v>429</v>
      </c>
      <c r="B100" s="140">
        <v>70</v>
      </c>
      <c r="C100" s="114" t="s">
        <v>428</v>
      </c>
      <c r="D100" s="112" t="s">
        <v>432</v>
      </c>
    </row>
    <row r="101" spans="1:7" x14ac:dyDescent="0.2">
      <c r="A101" s="113" t="s">
        <v>42</v>
      </c>
      <c r="B101" s="140">
        <v>12</v>
      </c>
      <c r="C101" s="114" t="s">
        <v>43</v>
      </c>
      <c r="D101" s="112" t="s">
        <v>432</v>
      </c>
    </row>
    <row r="102" spans="1:7" ht="14.25" x14ac:dyDescent="0.2">
      <c r="A102" s="112" t="s">
        <v>46</v>
      </c>
      <c r="B102" s="113">
        <v>80</v>
      </c>
      <c r="C102" s="113" t="s">
        <v>27</v>
      </c>
      <c r="D102" s="112" t="s">
        <v>432</v>
      </c>
    </row>
    <row r="103" spans="1:7" x14ac:dyDescent="0.2">
      <c r="A103" s="112" t="s">
        <v>427</v>
      </c>
      <c r="B103" s="140">
        <v>0.7</v>
      </c>
      <c r="D103" s="112" t="s">
        <v>432</v>
      </c>
    </row>
    <row r="104" spans="1:7" x14ac:dyDescent="0.2">
      <c r="A104" s="112" t="s">
        <v>430</v>
      </c>
      <c r="B104" s="140">
        <v>0.9</v>
      </c>
      <c r="D104" s="112" t="s">
        <v>432</v>
      </c>
    </row>
    <row r="105" spans="1:7" x14ac:dyDescent="0.2">
      <c r="A105" s="112" t="s">
        <v>431</v>
      </c>
      <c r="B105" s="140">
        <v>0.8</v>
      </c>
      <c r="D105" s="112" t="s">
        <v>432</v>
      </c>
    </row>
    <row r="106" spans="1:7" x14ac:dyDescent="0.2">
      <c r="A106" s="112" t="s">
        <v>433</v>
      </c>
      <c r="B106" s="140">
        <v>3581</v>
      </c>
      <c r="D106" s="112" t="s">
        <v>446</v>
      </c>
    </row>
    <row r="107" spans="1:7" x14ac:dyDescent="0.2">
      <c r="A107" s="112" t="s">
        <v>434</v>
      </c>
      <c r="B107" s="140">
        <v>221</v>
      </c>
      <c r="D107" s="112" t="s">
        <v>446</v>
      </c>
    </row>
    <row r="108" spans="1:7" x14ac:dyDescent="0.2">
      <c r="A108" s="112" t="s">
        <v>435</v>
      </c>
      <c r="B108" s="140">
        <v>1868</v>
      </c>
      <c r="D108" s="112" t="s">
        <v>446</v>
      </c>
    </row>
    <row r="109" spans="1:7" x14ac:dyDescent="0.2">
      <c r="A109" s="112" t="s">
        <v>436</v>
      </c>
      <c r="B109" s="140">
        <v>1006</v>
      </c>
      <c r="D109" s="112" t="s">
        <v>446</v>
      </c>
    </row>
    <row r="110" spans="1:7" x14ac:dyDescent="0.2">
      <c r="A110" s="112" t="s">
        <v>437</v>
      </c>
      <c r="B110" s="140">
        <v>1068</v>
      </c>
      <c r="D110" s="112" t="s">
        <v>446</v>
      </c>
    </row>
    <row r="111" spans="1:7" x14ac:dyDescent="0.2">
      <c r="A111" s="112" t="s">
        <v>438</v>
      </c>
      <c r="B111" s="140">
        <v>497</v>
      </c>
      <c r="D111" s="112" t="s">
        <v>446</v>
      </c>
    </row>
    <row r="112" spans="1:7" x14ac:dyDescent="0.2">
      <c r="A112" s="112" t="s">
        <v>439</v>
      </c>
      <c r="B112" s="140">
        <v>-9</v>
      </c>
      <c r="D112" s="112" t="s">
        <v>446</v>
      </c>
    </row>
    <row r="113" spans="1:4" x14ac:dyDescent="0.2">
      <c r="A113" s="112" t="s">
        <v>440</v>
      </c>
      <c r="B113" s="155">
        <f>AVERAGE(B108:B111)</f>
        <v>1109.75</v>
      </c>
      <c r="D113" s="112" t="s">
        <v>446</v>
      </c>
    </row>
    <row r="114" spans="1:4" x14ac:dyDescent="0.2">
      <c r="A114" s="112" t="s">
        <v>441</v>
      </c>
      <c r="B114" s="140">
        <v>980</v>
      </c>
      <c r="C114" s="114" t="s">
        <v>121</v>
      </c>
      <c r="D114" s="112" t="s">
        <v>446</v>
      </c>
    </row>
    <row r="115" spans="1:4" x14ac:dyDescent="0.2">
      <c r="A115" s="112" t="s">
        <v>442</v>
      </c>
      <c r="B115" s="140">
        <v>0</v>
      </c>
      <c r="C115" s="114" t="s">
        <v>124</v>
      </c>
      <c r="D115" s="112" t="s">
        <v>446</v>
      </c>
    </row>
    <row r="116" spans="1:4" x14ac:dyDescent="0.2">
      <c r="A116" s="112" t="s">
        <v>443</v>
      </c>
      <c r="B116" s="140">
        <v>0</v>
      </c>
      <c r="C116" s="114" t="s">
        <v>124</v>
      </c>
      <c r="D116" s="112" t="s">
        <v>446</v>
      </c>
    </row>
    <row r="117" spans="1:4" x14ac:dyDescent="0.2">
      <c r="A117" s="112" t="s">
        <v>444</v>
      </c>
      <c r="B117" s="140">
        <v>2000</v>
      </c>
      <c r="C117" s="114" t="s">
        <v>124</v>
      </c>
      <c r="D117" s="112" t="s">
        <v>446</v>
      </c>
    </row>
    <row r="118" spans="1:4" x14ac:dyDescent="0.2">
      <c r="A118" s="112" t="s">
        <v>447</v>
      </c>
      <c r="B118" s="156" t="s">
        <v>445</v>
      </c>
      <c r="C118" s="114" t="s">
        <v>52</v>
      </c>
      <c r="D118" s="112" t="s">
        <v>446</v>
      </c>
    </row>
    <row r="119" spans="1:4" x14ac:dyDescent="0.2">
      <c r="A119" s="112"/>
      <c r="B119" s="141"/>
      <c r="C119" s="114"/>
    </row>
    <row r="120" spans="1:4" x14ac:dyDescent="0.2">
      <c r="A120" s="112"/>
      <c r="B120" s="141"/>
    </row>
    <row r="121" spans="1:4" x14ac:dyDescent="0.2">
      <c r="A121" s="112"/>
      <c r="B121" s="141"/>
    </row>
  </sheetData>
  <customSheetViews>
    <customSheetView guid="{BFD0A862-FF9D-4229-ADD0-2A37AEA5AF1F}" state="hidden">
      <pane ySplit="2" topLeftCell="A3" activePane="bottomLeft" state="frozen"/>
      <selection pane="bottomLeft" activeCell="B21" sqref="B21"/>
      <pageMargins left="0.7" right="0.7" top="0.78740157499999996" bottom="0.78740157499999996" header="0.3" footer="0.3"/>
      <pageSetup paperSize="9" orientation="portrait" r:id="rId1"/>
    </customSheetView>
    <customSheetView guid="{11DD1BF8-C577-48F3-8516-9D608BF5BCA7}" fitToPage="1" state="hidden">
      <pane ySplit="2" topLeftCell="A24" activePane="bottomLeft" state="frozen"/>
      <selection pane="bottomLeft" activeCell="F39" sqref="F39"/>
      <pageMargins left="0.70866141732283472" right="0.70866141732283472" top="0.78740157480314965" bottom="0.78740157480314965" header="0.31496062992125984" footer="0.31496062992125984"/>
      <pageSetup paperSize="9" scale="76" fitToHeight="2" orientation="portrait" r:id="rId2"/>
    </customSheetView>
  </customSheetViews>
  <phoneticPr fontId="0" type="noConversion"/>
  <dataValidations count="1">
    <dataValidation allowBlank="1" showInputMessage="1" showErrorMessage="1" error="Wert sollte zwischen -90 und 90 sein" sqref="B12"/>
  </dataValidations>
  <pageMargins left="0.70866141732283472" right="0.70866141732283472" top="0.78740157480314965" bottom="0.78740157480314965" header="0.31496062992125984" footer="0.31496062992125984"/>
  <pageSetup paperSize="9" scale="76" fitToHeight="2" orientation="portrait"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FF0000"/>
  </sheetPr>
  <dimension ref="A1:U82"/>
  <sheetViews>
    <sheetView workbookViewId="0">
      <selection activeCell="K28" sqref="K28"/>
    </sheetView>
  </sheetViews>
  <sheetFormatPr baseColWidth="10" defaultRowHeight="12.75" x14ac:dyDescent="0.2"/>
  <sheetData>
    <row r="1" spans="1:21" s="27" customFormat="1" ht="14.25" customHeight="1" x14ac:dyDescent="0.2">
      <c r="A1" s="91" t="s">
        <v>224</v>
      </c>
      <c r="B1" s="92">
        <v>1</v>
      </c>
      <c r="C1" s="92">
        <v>2</v>
      </c>
      <c r="D1" s="92">
        <v>3</v>
      </c>
      <c r="E1" s="92">
        <v>4</v>
      </c>
      <c r="F1" s="92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73" customFormat="1" ht="14.25" customHeight="1" x14ac:dyDescent="0.2">
      <c r="A2" s="71" t="s">
        <v>236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s="73" customFormat="1" ht="14.25" customHeight="1" x14ac:dyDescent="0.2">
      <c r="A3" s="73" t="s">
        <v>195</v>
      </c>
      <c r="B3" s="74">
        <f>SolarGewinn!B28</f>
        <v>4.2280000000000006</v>
      </c>
      <c r="C3" s="74">
        <f>SolarGewinn!C28</f>
        <v>8.3160000000000007</v>
      </c>
      <c r="D3" s="74">
        <f>SolarGewinn!D28</f>
        <v>7.532</v>
      </c>
      <c r="E3" s="74">
        <f>SolarGewinn!E28</f>
        <v>7.8960000000000008</v>
      </c>
      <c r="F3" s="72"/>
      <c r="G3" s="74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s="73" customFormat="1" ht="14.25" customHeight="1" x14ac:dyDescent="0.2">
      <c r="A4" s="73" t="s">
        <v>218</v>
      </c>
      <c r="B4" s="74">
        <f>SolarGewinn!B33</f>
        <v>4143.4400000000005</v>
      </c>
      <c r="C4" s="74">
        <f>SolarGewinn!C33</f>
        <v>8149.68</v>
      </c>
      <c r="D4" s="74">
        <f>SolarGewinn!D33</f>
        <v>7381.36</v>
      </c>
      <c r="E4" s="74">
        <f>SolarGewinn!E33</f>
        <v>7738.0800000000008</v>
      </c>
      <c r="F4" s="72"/>
      <c r="G4" s="74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s="27" customFormat="1" ht="14.25" customHeight="1" x14ac:dyDescent="0.2">
      <c r="A5" s="21"/>
      <c r="B5" s="75"/>
      <c r="C5" s="75"/>
      <c r="D5" s="75"/>
      <c r="E5" s="75"/>
      <c r="F5" s="34"/>
      <c r="G5" s="7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s="53" customFormat="1" ht="14.25" customHeight="1" x14ac:dyDescent="0.2">
      <c r="A6" s="53" t="s">
        <v>261</v>
      </c>
      <c r="B6" s="33" t="str">
        <f>Förderungen!B3</f>
        <v>Erdsonde-WP</v>
      </c>
      <c r="C6" s="33" t="str">
        <f>Förderungen!C3</f>
        <v>Pelletheizung</v>
      </c>
      <c r="D6" s="33" t="str">
        <f>Förderungen!D3</f>
        <v>Erdgas</v>
      </c>
      <c r="E6" s="33" t="str">
        <f>Förderungen!E3</f>
        <v>Erdöl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s="31" customFormat="1" ht="14.25" customHeight="1" x14ac:dyDescent="0.2">
      <c r="A7" s="31">
        <v>1</v>
      </c>
      <c r="B7" s="76">
        <f>IF($A7&gt;Übersicht!$B$10,Förderungen!B$20+Förderungen!B$21-B38,Förderungen!B$20+Förderungen!B$21+Förderungen!B$22-B38)</f>
        <v>3362.0701313648965</v>
      </c>
      <c r="C7" s="76">
        <f>IF($A7&gt;Übersicht!$B$10,Förderungen!C$20+Förderungen!C$21-C38,Förderungen!C$20+Förderungen!C$21+Förderungen!C$22-C38)</f>
        <v>5511.4580300405787</v>
      </c>
      <c r="D7" s="76">
        <f>IF($A7&gt;Übersicht!$B$10,Förderungen!D$20+Förderungen!D$21-D38,Förderungen!D$20+Förderungen!D$21+Förderungen!D$22-D38)</f>
        <v>4320.9801062292727</v>
      </c>
      <c r="E7" s="76">
        <f>IF($A7&gt;Übersicht!$B$10,Förderungen!E$20+Förderungen!E$21-E38,Förderungen!E$20+Förderungen!E$21+Förderungen!E$22-E38)</f>
        <v>4985.1526831988776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s="31" customFormat="1" ht="14.25" customHeight="1" x14ac:dyDescent="0.2">
      <c r="A8" s="31">
        <v>2</v>
      </c>
      <c r="B8" s="76">
        <f>IF($A8&gt;Übersicht!$B$10,Förderungen!B$20+Förderungen!B$21-B39,Förderungen!B$20+Förderungen!B$21+Förderungen!B$22-B39)</f>
        <v>3362.0701313648965</v>
      </c>
      <c r="C8" s="76">
        <f>IF($A8&gt;Übersicht!$B$10,Förderungen!C$20+Förderungen!C$21-C39,Förderungen!C$20+Förderungen!C$21+Förderungen!C$22-C39)</f>
        <v>5511.4580300405787</v>
      </c>
      <c r="D8" s="76">
        <f>IF($A8&gt;Übersicht!$B$10,Förderungen!D$20+Förderungen!D$21-D39,Förderungen!D$20+Förderungen!D$21+Förderungen!D$22-D39)</f>
        <v>4320.9801062292727</v>
      </c>
      <c r="E8" s="76">
        <f>IF($A8&gt;Übersicht!$B$10,Förderungen!E$20+Förderungen!E$21-E39,Förderungen!E$20+Förderungen!E$21+Förderungen!E$22-E39)</f>
        <v>4985.1526831988776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s="31" customFormat="1" ht="14.25" customHeight="1" x14ac:dyDescent="0.2">
      <c r="A9" s="31">
        <v>3</v>
      </c>
      <c r="B9" s="76">
        <f>IF($A9&gt;Übersicht!$B$10,Förderungen!B$20+Förderungen!B$21-B40,Förderungen!B$20+Förderungen!B$21+Förderungen!B$22-B40)</f>
        <v>3362.0701313648965</v>
      </c>
      <c r="C9" s="76">
        <f>IF($A9&gt;Übersicht!$B$10,Förderungen!C$20+Förderungen!C$21-C40,Förderungen!C$20+Förderungen!C$21+Förderungen!C$22-C40)</f>
        <v>5511.4580300405787</v>
      </c>
      <c r="D9" s="76">
        <f>IF($A9&gt;Übersicht!$B$10,Förderungen!D$20+Förderungen!D$21-D40,Förderungen!D$20+Förderungen!D$21+Förderungen!D$22-D40)</f>
        <v>4320.9801062292727</v>
      </c>
      <c r="E9" s="76">
        <f>IF($A9&gt;Übersicht!$B$10,Förderungen!E$20+Förderungen!E$21-E40,Förderungen!E$20+Förderungen!E$21+Förderungen!E$22-E40)</f>
        <v>4985.1526831988776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s="31" customFormat="1" ht="14.25" customHeight="1" x14ac:dyDescent="0.2">
      <c r="A10" s="31">
        <v>4</v>
      </c>
      <c r="B10" s="76">
        <f>IF($A10&gt;Übersicht!$B$10,Förderungen!B$20+Förderungen!B$21-B41,Förderungen!B$20+Förderungen!B$21+Förderungen!B$22-B41)</f>
        <v>3362.0701313648965</v>
      </c>
      <c r="C10" s="76">
        <f>IF($A10&gt;Übersicht!$B$10,Förderungen!C$20+Förderungen!C$21-C41,Förderungen!C$20+Förderungen!C$21+Förderungen!C$22-C41)</f>
        <v>5511.4580300405787</v>
      </c>
      <c r="D10" s="76">
        <f>IF($A10&gt;Übersicht!$B$10,Förderungen!D$20+Förderungen!D$21-D41,Förderungen!D$20+Förderungen!D$21+Förderungen!D$22-D41)</f>
        <v>4320.9801062292727</v>
      </c>
      <c r="E10" s="76">
        <f>IF($A10&gt;Übersicht!$B$10,Förderungen!E$20+Förderungen!E$21-E41,Förderungen!E$20+Förderungen!E$21+Förderungen!E$22-E41)</f>
        <v>4985.1526831988776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s="31" customFormat="1" ht="14.25" customHeight="1" x14ac:dyDescent="0.2">
      <c r="A11" s="31">
        <v>5</v>
      </c>
      <c r="B11" s="76">
        <f>IF($A11&gt;Übersicht!$B$10,Förderungen!B$20+Förderungen!B$21-B42,Förderungen!B$20+Förderungen!B$21+Förderungen!B$22-B42)</f>
        <v>3362.0701313648965</v>
      </c>
      <c r="C11" s="76">
        <f>IF($A11&gt;Übersicht!$B$10,Förderungen!C$20+Förderungen!C$21-C42,Förderungen!C$20+Förderungen!C$21+Förderungen!C$22-C42)</f>
        <v>5511.4580300405787</v>
      </c>
      <c r="D11" s="76">
        <f>IF($A11&gt;Übersicht!$B$10,Förderungen!D$20+Förderungen!D$21-D42,Förderungen!D$20+Förderungen!D$21+Förderungen!D$22-D42)</f>
        <v>4320.9801062292727</v>
      </c>
      <c r="E11" s="76">
        <f>IF($A11&gt;Übersicht!$B$10,Förderungen!E$20+Förderungen!E$21-E42,Förderungen!E$20+Förderungen!E$21+Förderungen!E$22-E42)</f>
        <v>4985.1526831988776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s="31" customFormat="1" ht="14.25" customHeight="1" x14ac:dyDescent="0.2">
      <c r="A12" s="31">
        <v>6</v>
      </c>
      <c r="B12" s="76">
        <f>IF($A12&gt;Übersicht!$B$10,Förderungen!B$20+Förderungen!B$21-B43,Förderungen!B$20+Förderungen!B$21+Förderungen!B$22-B43)</f>
        <v>3362.0701313648965</v>
      </c>
      <c r="C12" s="76">
        <f>IF($A12&gt;Übersicht!$B$10,Förderungen!C$20+Förderungen!C$21-C43,Förderungen!C$20+Förderungen!C$21+Förderungen!C$22-C43)</f>
        <v>5511.4580300405787</v>
      </c>
      <c r="D12" s="76">
        <f>IF($A12&gt;Übersicht!$B$10,Förderungen!D$20+Förderungen!D$21-D43,Förderungen!D$20+Förderungen!D$21+Förderungen!D$22-D43)</f>
        <v>4320.9801062292727</v>
      </c>
      <c r="E12" s="76">
        <f>IF($A12&gt;Übersicht!$B$10,Förderungen!E$20+Förderungen!E$21-E43,Förderungen!E$20+Förderungen!E$21+Förderungen!E$22-E43)</f>
        <v>4985.1526831988776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31" customFormat="1" ht="14.25" customHeight="1" x14ac:dyDescent="0.2">
      <c r="A13" s="31">
        <v>7</v>
      </c>
      <c r="B13" s="76">
        <f>IF($A13&gt;Übersicht!$B$10,Förderungen!B$20+Förderungen!B$21-B44,Förderungen!B$20+Förderungen!B$21+Förderungen!B$22-B44)</f>
        <v>3362.0701313648965</v>
      </c>
      <c r="C13" s="76">
        <f>IF($A13&gt;Übersicht!$B$10,Förderungen!C$20+Förderungen!C$21-C44,Förderungen!C$20+Förderungen!C$21+Förderungen!C$22-C44)</f>
        <v>5511.4580300405787</v>
      </c>
      <c r="D13" s="76">
        <f>IF($A13&gt;Übersicht!$B$10,Förderungen!D$20+Förderungen!D$21-D44,Förderungen!D$20+Förderungen!D$21+Förderungen!D$22-D44)</f>
        <v>4320.9801062292727</v>
      </c>
      <c r="E13" s="76">
        <f>IF($A13&gt;Übersicht!$B$10,Förderungen!E$20+Förderungen!E$21-E44,Förderungen!E$20+Förderungen!E$21+Förderungen!E$22-E44)</f>
        <v>4985.1526831988776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s="31" customFormat="1" ht="14.25" customHeight="1" x14ac:dyDescent="0.2">
      <c r="A14" s="31">
        <v>8</v>
      </c>
      <c r="B14" s="76">
        <f>IF($A14&gt;Übersicht!$B$10,Förderungen!B$20+Förderungen!B$21-B45,Förderungen!B$20+Förderungen!B$21+Förderungen!B$22-B45)</f>
        <v>3362.0701313648965</v>
      </c>
      <c r="C14" s="76">
        <f>IF($A14&gt;Übersicht!$B$10,Förderungen!C$20+Förderungen!C$21-C45,Förderungen!C$20+Förderungen!C$21+Förderungen!C$22-C45)</f>
        <v>5511.4580300405787</v>
      </c>
      <c r="D14" s="76">
        <f>IF($A14&gt;Übersicht!$B$10,Förderungen!D$20+Förderungen!D$21-D45,Förderungen!D$20+Förderungen!D$21+Förderungen!D$22-D45)</f>
        <v>4320.9801062292727</v>
      </c>
      <c r="E14" s="76">
        <f>IF($A14&gt;Übersicht!$B$10,Förderungen!E$20+Förderungen!E$21-E45,Förderungen!E$20+Förderungen!E$21+Förderungen!E$22-E45)</f>
        <v>4985.1526831988776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s="31" customFormat="1" ht="14.25" customHeight="1" x14ac:dyDescent="0.2">
      <c r="A15" s="31">
        <v>9</v>
      </c>
      <c r="B15" s="76">
        <f>IF($A15&gt;Übersicht!$B$10,Förderungen!B$20+Förderungen!B$21-B46,Förderungen!B$20+Förderungen!B$21+Förderungen!B$22-B46)</f>
        <v>3362.0701313648965</v>
      </c>
      <c r="C15" s="76">
        <f>IF($A15&gt;Übersicht!$B$10,Förderungen!C$20+Förderungen!C$21-C46,Förderungen!C$20+Förderungen!C$21+Förderungen!C$22-C46)</f>
        <v>5511.4580300405787</v>
      </c>
      <c r="D15" s="76">
        <f>IF($A15&gt;Übersicht!$B$10,Förderungen!D$20+Förderungen!D$21-D46,Förderungen!D$20+Förderungen!D$21+Förderungen!D$22-D46)</f>
        <v>4320.9801062292727</v>
      </c>
      <c r="E15" s="76">
        <f>IF($A15&gt;Übersicht!$B$10,Förderungen!E$20+Förderungen!E$21-E46,Förderungen!E$20+Förderungen!E$21+Förderungen!E$22-E46)</f>
        <v>4985.1526831988776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s="31" customFormat="1" ht="14.25" customHeight="1" x14ac:dyDescent="0.2">
      <c r="A16" s="31">
        <v>10</v>
      </c>
      <c r="B16" s="76">
        <f>IF($A16&gt;Übersicht!$B$10,Förderungen!B$20+Förderungen!B$21-B47,Förderungen!B$20+Förderungen!B$21+Förderungen!B$22-B47)</f>
        <v>3362.0701313648965</v>
      </c>
      <c r="C16" s="76">
        <f>IF($A16&gt;Übersicht!$B$10,Förderungen!C$20+Förderungen!C$21-C47,Förderungen!C$20+Förderungen!C$21+Förderungen!C$22-C47)</f>
        <v>5511.4580300405787</v>
      </c>
      <c r="D16" s="76">
        <f>IF($A16&gt;Übersicht!$B$10,Förderungen!D$20+Förderungen!D$21-D47,Förderungen!D$20+Förderungen!D$21+Förderungen!D$22-D47)</f>
        <v>4320.9801062292727</v>
      </c>
      <c r="E16" s="76">
        <f>IF($A16&gt;Übersicht!$B$10,Förderungen!E$20+Förderungen!E$21-E47,Förderungen!E$20+Förderungen!E$21+Förderungen!E$22-E47)</f>
        <v>4985.1526831988776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1" customFormat="1" ht="14.25" customHeight="1" x14ac:dyDescent="0.2">
      <c r="A17" s="31">
        <v>11</v>
      </c>
      <c r="B17" s="76">
        <f>IF($A17&gt;Übersicht!$B$10,Förderungen!B$20+Förderungen!B$21-B48,Förderungen!B$20+Förderungen!B$21+Förderungen!B$22-B48)</f>
        <v>3362.0701313648965</v>
      </c>
      <c r="C17" s="76">
        <f>IF($A17&gt;Übersicht!$B$10,Förderungen!C$20+Förderungen!C$21-C48,Förderungen!C$20+Förderungen!C$21+Förderungen!C$22-C48)</f>
        <v>5511.4580300405787</v>
      </c>
      <c r="D17" s="76">
        <f>IF($A17&gt;Übersicht!$B$10,Förderungen!D$20+Förderungen!D$21-D48,Förderungen!D$20+Förderungen!D$21+Förderungen!D$22-D48)</f>
        <v>4320.9801062292727</v>
      </c>
      <c r="E17" s="76">
        <f>IF($A17&gt;Übersicht!$B$10,Förderungen!E$20+Förderungen!E$21-E48,Förderungen!E$20+Förderungen!E$21+Förderungen!E$22-E48)</f>
        <v>4985.1526831988776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31" customFormat="1" ht="14.25" customHeight="1" x14ac:dyDescent="0.2">
      <c r="A18" s="31">
        <v>12</v>
      </c>
      <c r="B18" s="76">
        <f>IF($A18&gt;Übersicht!$B$10,Förderungen!B$20+Förderungen!B$21-B49,Förderungen!B$20+Förderungen!B$21+Förderungen!B$22-B49)</f>
        <v>3362.0701313648965</v>
      </c>
      <c r="C18" s="76">
        <f>IF($A18&gt;Übersicht!$B$10,Förderungen!C$20+Förderungen!C$21-C49,Förderungen!C$20+Förderungen!C$21+Förderungen!C$22-C49)</f>
        <v>5511.4580300405787</v>
      </c>
      <c r="D18" s="76">
        <f>IF($A18&gt;Übersicht!$B$10,Förderungen!D$20+Förderungen!D$21-D49,Förderungen!D$20+Förderungen!D$21+Förderungen!D$22-D49)</f>
        <v>4320.9801062292727</v>
      </c>
      <c r="E18" s="76">
        <f>IF($A18&gt;Übersicht!$B$10,Förderungen!E$20+Förderungen!E$21-E49,Förderungen!E$20+Förderungen!E$21+Förderungen!E$22-E49)</f>
        <v>4985.1526831988776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s="31" customFormat="1" ht="14.25" customHeight="1" x14ac:dyDescent="0.2">
      <c r="A19" s="31">
        <v>13</v>
      </c>
      <c r="B19" s="76">
        <f>IF($A19&gt;Übersicht!$B$10,Förderungen!B$20+Förderungen!B$21-B50,Förderungen!B$20+Förderungen!B$21+Förderungen!B$22-B50)</f>
        <v>3362.0701313648965</v>
      </c>
      <c r="C19" s="76">
        <f>IF($A19&gt;Übersicht!$B$10,Förderungen!C$20+Förderungen!C$21-C50,Förderungen!C$20+Förderungen!C$21+Förderungen!C$22-C50)</f>
        <v>5511.4580300405787</v>
      </c>
      <c r="D19" s="76">
        <f>IF($A19&gt;Übersicht!$B$10,Förderungen!D$20+Förderungen!D$21-D50,Förderungen!D$20+Förderungen!D$21+Förderungen!D$22-D50)</f>
        <v>4320.9801062292727</v>
      </c>
      <c r="E19" s="76">
        <f>IF($A19&gt;Übersicht!$B$10,Förderungen!E$20+Förderungen!E$21-E50,Förderungen!E$20+Förderungen!E$21+Förderungen!E$22-E50)</f>
        <v>4985.1526831988776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s="31" customFormat="1" ht="14.25" customHeight="1" x14ac:dyDescent="0.2">
      <c r="A20" s="31">
        <v>14</v>
      </c>
      <c r="B20" s="76">
        <f>IF($A20&gt;Übersicht!$B$10,Förderungen!B$20+Förderungen!B$21-B51,Förderungen!B$20+Förderungen!B$21+Förderungen!B$22-B51)</f>
        <v>3362.0701313648965</v>
      </c>
      <c r="C20" s="76">
        <f>IF($A20&gt;Übersicht!$B$10,Förderungen!C$20+Förderungen!C$21-C51,Förderungen!C$20+Förderungen!C$21+Förderungen!C$22-C51)</f>
        <v>5511.4580300405787</v>
      </c>
      <c r="D20" s="76">
        <f>IF($A20&gt;Übersicht!$B$10,Förderungen!D$20+Förderungen!D$21-D51,Förderungen!D$20+Förderungen!D$21+Förderungen!D$22-D51)</f>
        <v>4320.9801062292727</v>
      </c>
      <c r="E20" s="76">
        <f>IF($A20&gt;Übersicht!$B$10,Förderungen!E$20+Förderungen!E$21-E51,Förderungen!E$20+Förderungen!E$21+Förderungen!E$22-E51)</f>
        <v>4985.1526831988776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s="31" customFormat="1" ht="14.25" customHeight="1" x14ac:dyDescent="0.2">
      <c r="A21" s="31">
        <v>15</v>
      </c>
      <c r="B21" s="76">
        <f>IF($A21&gt;Übersicht!$B$10,Förderungen!B$20+Förderungen!B$21-B52,Förderungen!B$20+Förderungen!B$21+Förderungen!B$22-B52)</f>
        <v>3362.0701313648965</v>
      </c>
      <c r="C21" s="76">
        <f>IF($A21&gt;Übersicht!$B$10,Förderungen!C$20+Förderungen!C$21-C52,Förderungen!C$20+Förderungen!C$21+Förderungen!C$22-C52)</f>
        <v>5511.4580300405787</v>
      </c>
      <c r="D21" s="76">
        <f>IF($A21&gt;Übersicht!$B$10,Förderungen!D$20+Förderungen!D$21-D52,Förderungen!D$20+Förderungen!D$21+Förderungen!D$22-D52)</f>
        <v>4320.9801062292727</v>
      </c>
      <c r="E21" s="76">
        <f>IF($A21&gt;Übersicht!$B$10,Förderungen!E$20+Förderungen!E$21-E52,Förderungen!E$20+Förderungen!E$21+Förderungen!E$22-E52)</f>
        <v>4985.1526831988776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31" customFormat="1" ht="14.25" customHeight="1" x14ac:dyDescent="0.2">
      <c r="A22" s="31">
        <v>16</v>
      </c>
      <c r="B22" s="76">
        <f>IF($A22&gt;Übersicht!$B$10,Förderungen!B$20+Förderungen!B$21-B53,Förderungen!B$20+Förderungen!B$21+Förderungen!B$22-B53)</f>
        <v>3362.0701313648965</v>
      </c>
      <c r="C22" s="76">
        <f>IF($A22&gt;Übersicht!$B$10,Förderungen!C$20+Förderungen!C$21-C53,Förderungen!C$20+Förderungen!C$21+Förderungen!C$22-C53)</f>
        <v>5511.4580300405787</v>
      </c>
      <c r="D22" s="76">
        <f>IF($A22&gt;Übersicht!$B$10,Förderungen!D$20+Förderungen!D$21-D53,Förderungen!D$20+Förderungen!D$21+Förderungen!D$22-D53)</f>
        <v>4320.9801062292727</v>
      </c>
      <c r="E22" s="76">
        <f>IF($A22&gt;Übersicht!$B$10,Förderungen!E$20+Förderungen!E$21-E53,Förderungen!E$20+Förderungen!E$21+Förderungen!E$22-E53)</f>
        <v>4985.1526831988776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s="31" customFormat="1" ht="14.25" customHeight="1" x14ac:dyDescent="0.2">
      <c r="A23" s="31">
        <v>17</v>
      </c>
      <c r="B23" s="76">
        <f>IF($A23&gt;Übersicht!$B$10,Förderungen!B$20+Förderungen!B$21-B54,Förderungen!B$20+Förderungen!B$21+Förderungen!B$22-B54)</f>
        <v>3362.0701313648965</v>
      </c>
      <c r="C23" s="76">
        <f>IF($A23&gt;Übersicht!$B$10,Förderungen!C$20+Förderungen!C$21-C54,Förderungen!C$20+Förderungen!C$21+Förderungen!C$22-C54)</f>
        <v>5511.4580300405787</v>
      </c>
      <c r="D23" s="76">
        <f>IF($A23&gt;Übersicht!$B$10,Förderungen!D$20+Förderungen!D$21-D54,Förderungen!D$20+Förderungen!D$21+Förderungen!D$22-D54)</f>
        <v>4320.9801062292727</v>
      </c>
      <c r="E23" s="76">
        <f>IF($A23&gt;Übersicht!$B$10,Förderungen!E$20+Förderungen!E$21-E54,Förderungen!E$20+Förderungen!E$21+Förderungen!E$22-E54)</f>
        <v>4985.1526831988776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s="31" customFormat="1" ht="14.25" customHeight="1" x14ac:dyDescent="0.2">
      <c r="A24" s="31">
        <v>18</v>
      </c>
      <c r="B24" s="76">
        <f>IF($A24&gt;Übersicht!$B$10,Förderungen!B$20+Förderungen!B$21-B55,Förderungen!B$20+Förderungen!B$21+Förderungen!B$22-B55)</f>
        <v>3362.0701313648965</v>
      </c>
      <c r="C24" s="76">
        <f>IF($A24&gt;Übersicht!$B$10,Förderungen!C$20+Förderungen!C$21-C55,Förderungen!C$20+Förderungen!C$21+Förderungen!C$22-C55)</f>
        <v>5511.4580300405787</v>
      </c>
      <c r="D24" s="76">
        <f>IF($A24&gt;Übersicht!$B$10,Förderungen!D$20+Förderungen!D$21-D55,Förderungen!D$20+Förderungen!D$21+Förderungen!D$22-D55)</f>
        <v>4320.9801062292727</v>
      </c>
      <c r="E24" s="76">
        <f>IF($A24&gt;Übersicht!$B$10,Förderungen!E$20+Förderungen!E$21-E55,Förderungen!E$20+Förderungen!E$21+Förderungen!E$22-E55)</f>
        <v>4985.1526831988776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s="31" customFormat="1" ht="14.25" customHeight="1" x14ac:dyDescent="0.2">
      <c r="A25" s="31">
        <v>19</v>
      </c>
      <c r="B25" s="76">
        <f>IF($A25&gt;Übersicht!$B$10,Förderungen!B$20+Förderungen!B$21-B56,Förderungen!B$20+Förderungen!B$21+Förderungen!B$22-B56)</f>
        <v>3362.0701313648965</v>
      </c>
      <c r="C25" s="76">
        <f>IF($A25&gt;Übersicht!$B$10,Förderungen!C$20+Förderungen!C$21-C56,Förderungen!C$20+Förderungen!C$21+Förderungen!C$22-C56)</f>
        <v>5511.4580300405787</v>
      </c>
      <c r="D25" s="76">
        <f>IF($A25&gt;Übersicht!$B$10,Förderungen!D$20+Förderungen!D$21-D56,Förderungen!D$20+Förderungen!D$21+Förderungen!D$22-D56)</f>
        <v>4320.9801062292727</v>
      </c>
      <c r="E25" s="76">
        <f>IF($A25&gt;Übersicht!$B$10,Förderungen!E$20+Förderungen!E$21-E56,Förderungen!E$20+Förderungen!E$21+Förderungen!E$22-E56)</f>
        <v>4985.1526831988776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s="31" customFormat="1" ht="14.25" customHeight="1" x14ac:dyDescent="0.2">
      <c r="A26" s="31">
        <v>20</v>
      </c>
      <c r="B26" s="76">
        <f>IF($A26&gt;Übersicht!$B$10,Förderungen!B$20+Förderungen!B$21-B57,Förderungen!B$20+Förderungen!B$21+Förderungen!B$22-B57)</f>
        <v>3362.0701313648965</v>
      </c>
      <c r="C26" s="76">
        <f>IF($A26&gt;Übersicht!$B$10,Förderungen!C$20+Förderungen!C$21-C57,Förderungen!C$20+Förderungen!C$21+Förderungen!C$22-C57)</f>
        <v>5511.4580300405787</v>
      </c>
      <c r="D26" s="76">
        <f>IF($A26&gt;Übersicht!$B$10,Förderungen!D$20+Förderungen!D$21-D57,Förderungen!D$20+Förderungen!D$21+Förderungen!D$22-D57)</f>
        <v>4320.9801062292727</v>
      </c>
      <c r="E26" s="76">
        <f>IF($A26&gt;Übersicht!$B$10,Förderungen!E$20+Förderungen!E$21-E57,Förderungen!E$20+Förderungen!E$21+Förderungen!E$22-E57)</f>
        <v>4985.1526831988776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s="31" customFormat="1" ht="14.25" customHeight="1" x14ac:dyDescent="0.2">
      <c r="A27" s="31">
        <v>21</v>
      </c>
      <c r="B27" s="76">
        <f>IF($A27&gt;Übersicht!$B$10,Förderungen!B$20+Förderungen!B$21-B58,Förderungen!B$20+Förderungen!B$21+Förderungen!B$22-B58)</f>
        <v>455.84699244000001</v>
      </c>
      <c r="C27" s="76">
        <f>IF($A27&gt;Übersicht!$B$10,Förderungen!C$20+Förderungen!C$21-C58,Förderungen!C$20+Förderungen!C$21+Förderungen!C$22-C58)</f>
        <v>368.82949957270597</v>
      </c>
      <c r="D27" s="76">
        <f>IF($A27&gt;Übersicht!$B$10,Förderungen!D$20+Förderungen!D$21-D58,Förderungen!D$20+Förderungen!D$21+Förderungen!D$22-D58)</f>
        <v>352.71631100631583</v>
      </c>
      <c r="E27" s="76">
        <f>IF($A27&gt;Übersicht!$B$10,Förderungen!E$20+Förderungen!E$21-E58,Förderungen!E$20+Förderungen!E$21+Förderungen!E$22-E58)</f>
        <v>618.81161869803907</v>
      </c>
      <c r="F27" s="32"/>
      <c r="G27" s="32"/>
      <c r="H27" s="32"/>
      <c r="I27" s="32"/>
      <c r="J27" s="32"/>
      <c r="K27" s="76">
        <f>Referenzdaten!B48</f>
        <v>10000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s="31" customFormat="1" ht="14.25" customHeight="1" x14ac:dyDescent="0.2">
      <c r="A28" s="31">
        <v>22</v>
      </c>
      <c r="B28" s="76">
        <f>IF($A28&gt;Übersicht!$B$10,Förderungen!B$20+Förderungen!B$21-B59,Förderungen!B$20+Förderungen!B$21+Förderungen!B$22-B59)</f>
        <v>455.84699244000001</v>
      </c>
      <c r="C28" s="76">
        <f>IF($A28&gt;Übersicht!$B$10,Förderungen!C$20+Förderungen!C$21-C59,Förderungen!C$20+Förderungen!C$21+Förderungen!C$22-C59)</f>
        <v>368.82949957270597</v>
      </c>
      <c r="D28" s="76">
        <f>IF($A28&gt;Übersicht!$B$10,Förderungen!D$20+Förderungen!D$21-D59,Förderungen!D$20+Förderungen!D$21+Förderungen!D$22-D59)</f>
        <v>352.71631100631583</v>
      </c>
      <c r="E28" s="76">
        <f>IF($A28&gt;Übersicht!$B$10,Förderungen!E$20+Förderungen!E$21-E59,Förderungen!E$20+Förderungen!E$21+Förderungen!E$22-E59)</f>
        <v>618.81161869803907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s="31" customFormat="1" ht="14.25" customHeight="1" x14ac:dyDescent="0.2">
      <c r="A29" s="31">
        <v>23</v>
      </c>
      <c r="B29" s="76">
        <f>IF($A29&gt;Übersicht!$B$10,Förderungen!B$20+Förderungen!B$21-B60,Förderungen!B$20+Förderungen!B$21+Förderungen!B$22-B60)</f>
        <v>455.84699244000001</v>
      </c>
      <c r="C29" s="76">
        <f>IF($A29&gt;Übersicht!$B$10,Förderungen!C$20+Förderungen!C$21-C60,Förderungen!C$20+Förderungen!C$21+Förderungen!C$22-C60)</f>
        <v>368.82949957270597</v>
      </c>
      <c r="D29" s="76">
        <f>IF($A29&gt;Übersicht!$B$10,Förderungen!D$20+Förderungen!D$21-D60,Förderungen!D$20+Förderungen!D$21+Förderungen!D$22-D60)</f>
        <v>352.71631100631583</v>
      </c>
      <c r="E29" s="76">
        <f>IF($A29&gt;Übersicht!$B$10,Förderungen!E$20+Förderungen!E$21-E60,Förderungen!E$20+Förderungen!E$21+Förderungen!E$22-E60)</f>
        <v>618.81161869803907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s="31" customFormat="1" ht="14.25" customHeight="1" x14ac:dyDescent="0.2">
      <c r="A30" s="31">
        <v>24</v>
      </c>
      <c r="B30" s="76">
        <f>IF($A30&gt;Übersicht!$B$10,Förderungen!B$20+Förderungen!B$21-B61,Förderungen!B$20+Förderungen!B$21+Förderungen!B$22-B61)</f>
        <v>455.84699244000001</v>
      </c>
      <c r="C30" s="76">
        <f>IF($A30&gt;Übersicht!$B$10,Förderungen!C$20+Förderungen!C$21-C61,Förderungen!C$20+Förderungen!C$21+Förderungen!C$22-C61)</f>
        <v>368.82949957270597</v>
      </c>
      <c r="D30" s="76">
        <f>IF($A30&gt;Übersicht!$B$10,Förderungen!D$20+Förderungen!D$21-D61,Förderungen!D$20+Förderungen!D$21+Förderungen!D$22-D61)</f>
        <v>352.71631100631583</v>
      </c>
      <c r="E30" s="76">
        <f>IF($A30&gt;Übersicht!$B$10,Förderungen!E$20+Förderungen!E$21-E61,Förderungen!E$20+Förderungen!E$21+Förderungen!E$22-E61)</f>
        <v>618.81161869803907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s="31" customFormat="1" ht="14.25" customHeight="1" x14ac:dyDescent="0.2">
      <c r="A31" s="31">
        <v>25</v>
      </c>
      <c r="B31" s="76">
        <f>IF($A31&gt;Übersicht!$B$10,Förderungen!B$20+Förderungen!B$21-B62,Förderungen!B$20+Förderungen!B$21+Förderungen!B$22-B62)</f>
        <v>455.84699244000001</v>
      </c>
      <c r="C31" s="76">
        <f>IF($A31&gt;Übersicht!$B$10,Förderungen!C$20+Förderungen!C$21-C62,Förderungen!C$20+Förderungen!C$21+Förderungen!C$22-C62)</f>
        <v>368.82949957270597</v>
      </c>
      <c r="D31" s="76">
        <f>IF($A31&gt;Übersicht!$B$10,Förderungen!D$20+Förderungen!D$21-D62,Förderungen!D$20+Förderungen!D$21+Förderungen!D$22-D62)</f>
        <v>352.71631100631583</v>
      </c>
      <c r="E31" s="76">
        <f>IF($A31&gt;Übersicht!$B$10,Förderungen!E$20+Förderungen!E$21-E62,Förderungen!E$20+Förderungen!E$21+Förderungen!E$22-E62)</f>
        <v>618.81161869803907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s="31" customFormat="1" ht="14.25" customHeight="1" x14ac:dyDescent="0.2">
      <c r="A32" s="31" t="s">
        <v>350</v>
      </c>
      <c r="B32" s="76">
        <f>SUM(B7:B31)</f>
        <v>69520.637589497914</v>
      </c>
      <c r="C32" s="76">
        <f>SUM(C7:C31)</f>
        <v>112073.3080986751</v>
      </c>
      <c r="D32" s="76">
        <f>SUM(D7:D31)</f>
        <v>88183.18367961701</v>
      </c>
      <c r="E32" s="76">
        <f>SUM(E7:E31)</f>
        <v>102797.11175746768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s="31" customFormat="1" ht="14.25" customHeight="1" x14ac:dyDescent="0.2">
      <c r="B33" s="76"/>
      <c r="C33" s="76"/>
      <c r="D33" s="76"/>
      <c r="E33" s="76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s="31" customFormat="1" ht="14.25" customHeight="1" x14ac:dyDescent="0.2">
      <c r="B34" s="76"/>
      <c r="C34" s="76"/>
      <c r="D34" s="76"/>
      <c r="E34" s="76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s="31" customFormat="1" ht="14.25" customHeight="1" x14ac:dyDescent="0.2">
      <c r="B35" s="76"/>
      <c r="C35" s="76"/>
      <c r="D35" s="76"/>
      <c r="E35" s="76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s="31" customFormat="1" ht="14.25" customHeight="1" x14ac:dyDescent="0.2">
      <c r="B36" s="76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s="31" customFormat="1" ht="14.25" customHeight="1" x14ac:dyDescent="0.2">
      <c r="A37" s="31" t="s">
        <v>237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s="31" customFormat="1" ht="14.25" customHeight="1" x14ac:dyDescent="0.2">
      <c r="A38" s="31">
        <v>1</v>
      </c>
      <c r="B38" s="32">
        <f>B$4*Ortsdaten!$B16</f>
        <v>248.60640000000001</v>
      </c>
      <c r="C38" s="32">
        <f>C$4*Ortsdaten!$B16</f>
        <v>488.98079999999999</v>
      </c>
      <c r="D38" s="32">
        <f>D$4*Ortsdaten!$B16</f>
        <v>442.88159999999999</v>
      </c>
      <c r="E38" s="32">
        <f>E$4*Ortsdaten!$B16</f>
        <v>464.28480000000002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s="31" customFormat="1" ht="14.25" customHeight="1" x14ac:dyDescent="0.2">
      <c r="A39" s="31">
        <v>2</v>
      </c>
      <c r="B39" s="32">
        <f>B$4*Ortsdaten!$B17</f>
        <v>248.60640000000001</v>
      </c>
      <c r="C39" s="32">
        <f>C$4*Ortsdaten!$B17</f>
        <v>488.98079999999999</v>
      </c>
      <c r="D39" s="32">
        <f>D$4*Ortsdaten!$B17</f>
        <v>442.88159999999999</v>
      </c>
      <c r="E39" s="32">
        <f>E$4*Ortsdaten!$B17</f>
        <v>464.28480000000002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s="31" customFormat="1" ht="14.25" customHeight="1" x14ac:dyDescent="0.2">
      <c r="A40" s="31">
        <v>3</v>
      </c>
      <c r="B40" s="32">
        <f>B$4*Ortsdaten!$B18</f>
        <v>248.60640000000001</v>
      </c>
      <c r="C40" s="32">
        <f>C$4*Ortsdaten!$B18</f>
        <v>488.98079999999999</v>
      </c>
      <c r="D40" s="32">
        <f>D$4*Ortsdaten!$B18</f>
        <v>442.88159999999999</v>
      </c>
      <c r="E40" s="32">
        <f>E$4*Ortsdaten!$B18</f>
        <v>464.28480000000002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s="31" customFormat="1" ht="14.25" customHeight="1" x14ac:dyDescent="0.2">
      <c r="A41" s="31">
        <v>4</v>
      </c>
      <c r="B41" s="32">
        <f>B$4*Ortsdaten!$B19</f>
        <v>248.60640000000001</v>
      </c>
      <c r="C41" s="32">
        <f>C$4*Ortsdaten!$B19</f>
        <v>488.98079999999999</v>
      </c>
      <c r="D41" s="32">
        <f>D$4*Ortsdaten!$B19</f>
        <v>442.88159999999999</v>
      </c>
      <c r="E41" s="32">
        <f>E$4*Ortsdaten!$B19</f>
        <v>464.28480000000002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s="31" customFormat="1" ht="14.25" customHeight="1" x14ac:dyDescent="0.2">
      <c r="A42" s="31">
        <v>5</v>
      </c>
      <c r="B42" s="32">
        <f>B$4*Ortsdaten!$B20</f>
        <v>248.60640000000001</v>
      </c>
      <c r="C42" s="32">
        <f>C$4*Ortsdaten!$B20</f>
        <v>488.98079999999999</v>
      </c>
      <c r="D42" s="32">
        <f>D$4*Ortsdaten!$B20</f>
        <v>442.88159999999999</v>
      </c>
      <c r="E42" s="32">
        <f>E$4*Ortsdaten!$B20</f>
        <v>464.28480000000002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s="31" customFormat="1" ht="14.25" customHeight="1" x14ac:dyDescent="0.2">
      <c r="A43" s="31">
        <v>6</v>
      </c>
      <c r="B43" s="32">
        <f>B$4*Ortsdaten!$B21</f>
        <v>248.60640000000001</v>
      </c>
      <c r="C43" s="32">
        <f>C$4*Ortsdaten!$B21</f>
        <v>488.98079999999999</v>
      </c>
      <c r="D43" s="32">
        <f>D$4*Ortsdaten!$B21</f>
        <v>442.88159999999999</v>
      </c>
      <c r="E43" s="32">
        <f>E$4*Ortsdaten!$B21</f>
        <v>464.28480000000002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s="31" customFormat="1" ht="14.25" customHeight="1" x14ac:dyDescent="0.2">
      <c r="A44" s="31">
        <v>7</v>
      </c>
      <c r="B44" s="32">
        <f>B$4*Ortsdaten!$B22</f>
        <v>248.60640000000001</v>
      </c>
      <c r="C44" s="32">
        <f>C$4*Ortsdaten!$B22</f>
        <v>488.98079999999999</v>
      </c>
      <c r="D44" s="32">
        <f>D$4*Ortsdaten!$B22</f>
        <v>442.88159999999999</v>
      </c>
      <c r="E44" s="32">
        <f>E$4*Ortsdaten!$B22</f>
        <v>464.28480000000002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s="31" customFormat="1" ht="14.25" customHeight="1" x14ac:dyDescent="0.2">
      <c r="A45" s="31">
        <v>8</v>
      </c>
      <c r="B45" s="32">
        <f>B$4*Ortsdaten!$B23</f>
        <v>248.60640000000001</v>
      </c>
      <c r="C45" s="32">
        <f>C$4*Ortsdaten!$B23</f>
        <v>488.98079999999999</v>
      </c>
      <c r="D45" s="32">
        <f>D$4*Ortsdaten!$B23</f>
        <v>442.88159999999999</v>
      </c>
      <c r="E45" s="32">
        <f>E$4*Ortsdaten!$B23</f>
        <v>464.28480000000002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s="31" customFormat="1" ht="14.25" customHeight="1" x14ac:dyDescent="0.2">
      <c r="A46" s="31">
        <v>9</v>
      </c>
      <c r="B46" s="32">
        <f>B$4*Ortsdaten!$B24</f>
        <v>248.60640000000001</v>
      </c>
      <c r="C46" s="32">
        <f>C$4*Ortsdaten!$B24</f>
        <v>488.98079999999999</v>
      </c>
      <c r="D46" s="32">
        <f>D$4*Ortsdaten!$B24</f>
        <v>442.88159999999999</v>
      </c>
      <c r="E46" s="32">
        <f>E$4*Ortsdaten!$B24</f>
        <v>464.28480000000002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s="31" customFormat="1" ht="14.25" customHeight="1" x14ac:dyDescent="0.2">
      <c r="A47" s="31">
        <v>10</v>
      </c>
      <c r="B47" s="32">
        <f>B$4*Ortsdaten!$B25</f>
        <v>248.60640000000001</v>
      </c>
      <c r="C47" s="32">
        <f>C$4*Ortsdaten!$B25</f>
        <v>488.98079999999999</v>
      </c>
      <c r="D47" s="32">
        <f>D$4*Ortsdaten!$B25</f>
        <v>442.88159999999999</v>
      </c>
      <c r="E47" s="32">
        <f>E$4*Ortsdaten!$B25</f>
        <v>464.28480000000002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s="31" customFormat="1" ht="14.25" customHeight="1" x14ac:dyDescent="0.2">
      <c r="A48" s="31">
        <v>11</v>
      </c>
      <c r="B48" s="32">
        <f>B$4*Ortsdaten!$B26</f>
        <v>248.60640000000001</v>
      </c>
      <c r="C48" s="32">
        <f>C$4*Ortsdaten!$B26</f>
        <v>488.98079999999999</v>
      </c>
      <c r="D48" s="32">
        <f>D$4*Ortsdaten!$B26</f>
        <v>442.88159999999999</v>
      </c>
      <c r="E48" s="32">
        <f>E$4*Ortsdaten!$B26</f>
        <v>464.28480000000002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s="31" customFormat="1" ht="14.25" customHeight="1" x14ac:dyDescent="0.2">
      <c r="A49" s="31">
        <v>12</v>
      </c>
      <c r="B49" s="32">
        <f>B$4*Ortsdaten!$B27</f>
        <v>248.60640000000001</v>
      </c>
      <c r="C49" s="32">
        <f>C$4*Ortsdaten!$B27</f>
        <v>488.98079999999999</v>
      </c>
      <c r="D49" s="32">
        <f>D$4*Ortsdaten!$B27</f>
        <v>442.88159999999999</v>
      </c>
      <c r="E49" s="32">
        <f>E$4*Ortsdaten!$B27</f>
        <v>464.28480000000002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s="31" customFormat="1" ht="14.25" customHeight="1" x14ac:dyDescent="0.2">
      <c r="A50" s="31">
        <v>13</v>
      </c>
      <c r="B50" s="32">
        <f>B$4*Ortsdaten!$B28</f>
        <v>248.60640000000001</v>
      </c>
      <c r="C50" s="32">
        <f>C$4*Ortsdaten!$B28</f>
        <v>488.98079999999999</v>
      </c>
      <c r="D50" s="32">
        <f>D$4*Ortsdaten!$B28</f>
        <v>442.88159999999999</v>
      </c>
      <c r="E50" s="32">
        <f>E$4*Ortsdaten!$B28</f>
        <v>464.28480000000002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s="31" customFormat="1" ht="14.25" customHeight="1" x14ac:dyDescent="0.2">
      <c r="A51" s="31">
        <v>14</v>
      </c>
      <c r="B51" s="32">
        <f>B$4*Ortsdaten!$B29</f>
        <v>248.60640000000001</v>
      </c>
      <c r="C51" s="32">
        <f>C$4*Ortsdaten!$B29</f>
        <v>488.98079999999999</v>
      </c>
      <c r="D51" s="32">
        <f>D$4*Ortsdaten!$B29</f>
        <v>442.88159999999999</v>
      </c>
      <c r="E51" s="32">
        <f>E$4*Ortsdaten!$B29</f>
        <v>464.28480000000002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s="31" customFormat="1" ht="14.25" customHeight="1" x14ac:dyDescent="0.2">
      <c r="A52" s="31">
        <v>15</v>
      </c>
      <c r="B52" s="32">
        <f>B$4*Ortsdaten!$B30</f>
        <v>248.60640000000001</v>
      </c>
      <c r="C52" s="32">
        <f>C$4*Ortsdaten!$B30</f>
        <v>488.98079999999999</v>
      </c>
      <c r="D52" s="32">
        <f>D$4*Ortsdaten!$B30</f>
        <v>442.88159999999999</v>
      </c>
      <c r="E52" s="32">
        <f>E$4*Ortsdaten!$B30</f>
        <v>464.28480000000002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s="31" customFormat="1" ht="14.25" customHeight="1" x14ac:dyDescent="0.2">
      <c r="A53" s="31">
        <v>16</v>
      </c>
      <c r="B53" s="32">
        <f>B$4*Ortsdaten!$B31</f>
        <v>248.60640000000001</v>
      </c>
      <c r="C53" s="32">
        <f>C$4*Ortsdaten!$B31</f>
        <v>488.98079999999999</v>
      </c>
      <c r="D53" s="32">
        <f>D$4*Ortsdaten!$B31</f>
        <v>442.88159999999999</v>
      </c>
      <c r="E53" s="32">
        <f>E$4*Ortsdaten!$B31</f>
        <v>464.28480000000002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s="31" customFormat="1" ht="14.25" customHeight="1" x14ac:dyDescent="0.2">
      <c r="A54" s="31">
        <v>17</v>
      </c>
      <c r="B54" s="32">
        <f>B$4*Ortsdaten!$B32</f>
        <v>248.60640000000001</v>
      </c>
      <c r="C54" s="32">
        <f>C$4*Ortsdaten!$B32</f>
        <v>488.98079999999999</v>
      </c>
      <c r="D54" s="32">
        <f>D$4*Ortsdaten!$B32</f>
        <v>442.88159999999999</v>
      </c>
      <c r="E54" s="32">
        <f>E$4*Ortsdaten!$B32</f>
        <v>464.28480000000002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s="31" customFormat="1" ht="14.25" customHeight="1" x14ac:dyDescent="0.2">
      <c r="A55" s="31">
        <v>18</v>
      </c>
      <c r="B55" s="32">
        <f>B$4*Ortsdaten!$B33</f>
        <v>248.60640000000001</v>
      </c>
      <c r="C55" s="32">
        <f>C$4*Ortsdaten!$B33</f>
        <v>488.98079999999999</v>
      </c>
      <c r="D55" s="32">
        <f>D$4*Ortsdaten!$B33</f>
        <v>442.88159999999999</v>
      </c>
      <c r="E55" s="32">
        <f>E$4*Ortsdaten!$B33</f>
        <v>464.28480000000002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s="31" customFormat="1" ht="14.25" customHeight="1" x14ac:dyDescent="0.2">
      <c r="A56" s="31">
        <v>19</v>
      </c>
      <c r="B56" s="32">
        <f>B$4*Ortsdaten!$B34</f>
        <v>248.60640000000001</v>
      </c>
      <c r="C56" s="32">
        <f>C$4*Ortsdaten!$B34</f>
        <v>488.98079999999999</v>
      </c>
      <c r="D56" s="32">
        <f>D$4*Ortsdaten!$B34</f>
        <v>442.88159999999999</v>
      </c>
      <c r="E56" s="32">
        <f>E$4*Ortsdaten!$B34</f>
        <v>464.28480000000002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s="31" customFormat="1" ht="14.25" customHeight="1" x14ac:dyDescent="0.2">
      <c r="A57" s="31">
        <v>20</v>
      </c>
      <c r="B57" s="32">
        <f>B$4*Ortsdaten!$B35</f>
        <v>248.60640000000001</v>
      </c>
      <c r="C57" s="32">
        <f>C$4*Ortsdaten!$B35</f>
        <v>488.98079999999999</v>
      </c>
      <c r="D57" s="32">
        <f>D$4*Ortsdaten!$B35</f>
        <v>442.88159999999999</v>
      </c>
      <c r="E57" s="32">
        <f>E$4*Ortsdaten!$B35</f>
        <v>464.28480000000002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s="31" customFormat="1" ht="14.25" customHeight="1" x14ac:dyDescent="0.2">
      <c r="A58" s="31">
        <v>21</v>
      </c>
      <c r="B58" s="32">
        <f>B$4*Ortsdaten!$B36</f>
        <v>248.60640000000001</v>
      </c>
      <c r="C58" s="32">
        <f>C$4*Ortsdaten!$B36</f>
        <v>488.98079999999999</v>
      </c>
      <c r="D58" s="32">
        <f>D$4*Ortsdaten!$B36</f>
        <v>442.88159999999999</v>
      </c>
      <c r="E58" s="32">
        <f>E$4*Ortsdaten!$B36</f>
        <v>464.28480000000002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s="31" customFormat="1" ht="14.25" customHeight="1" x14ac:dyDescent="0.2">
      <c r="A59" s="31">
        <v>22</v>
      </c>
      <c r="B59" s="32">
        <f>B$4*Ortsdaten!$B37</f>
        <v>248.60640000000001</v>
      </c>
      <c r="C59" s="32">
        <f>C$4*Ortsdaten!$B37</f>
        <v>488.98079999999999</v>
      </c>
      <c r="D59" s="32">
        <f>D$4*Ortsdaten!$B37</f>
        <v>442.88159999999999</v>
      </c>
      <c r="E59" s="32">
        <f>E$4*Ortsdaten!$B37</f>
        <v>464.28480000000002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s="31" customFormat="1" ht="14.25" customHeight="1" x14ac:dyDescent="0.2">
      <c r="A60" s="31">
        <v>23</v>
      </c>
      <c r="B60" s="32">
        <f>B$4*Ortsdaten!$B38</f>
        <v>248.60640000000001</v>
      </c>
      <c r="C60" s="32">
        <f>C$4*Ortsdaten!$B38</f>
        <v>488.98079999999999</v>
      </c>
      <c r="D60" s="32">
        <f>D$4*Ortsdaten!$B38</f>
        <v>442.88159999999999</v>
      </c>
      <c r="E60" s="32">
        <f>E$4*Ortsdaten!$B38</f>
        <v>464.28480000000002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s="31" customFormat="1" ht="14.25" customHeight="1" x14ac:dyDescent="0.2">
      <c r="A61" s="31">
        <v>24</v>
      </c>
      <c r="B61" s="32">
        <f>B$4*Ortsdaten!$B39</f>
        <v>248.60640000000001</v>
      </c>
      <c r="C61" s="32">
        <f>C$4*Ortsdaten!$B39</f>
        <v>488.98079999999999</v>
      </c>
      <c r="D61" s="32">
        <f>D$4*Ortsdaten!$B39</f>
        <v>442.88159999999999</v>
      </c>
      <c r="E61" s="32">
        <f>E$4*Ortsdaten!$B39</f>
        <v>464.28480000000002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s="31" customFormat="1" ht="14.25" customHeight="1" x14ac:dyDescent="0.2">
      <c r="A62" s="31">
        <v>25</v>
      </c>
      <c r="B62" s="32">
        <f>B$4*Ortsdaten!$B40</f>
        <v>248.60640000000001</v>
      </c>
      <c r="C62" s="32">
        <f>C$4*Ortsdaten!$B40</f>
        <v>488.98079999999999</v>
      </c>
      <c r="D62" s="32">
        <f>D$4*Ortsdaten!$B40</f>
        <v>442.88159999999999</v>
      </c>
      <c r="E62" s="32">
        <f>E$4*Ortsdaten!$B40</f>
        <v>464.28480000000002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s="31" customFormat="1" ht="14.25" customHeight="1" x14ac:dyDescent="0.2">
      <c r="A63" s="31" t="s">
        <v>352</v>
      </c>
      <c r="B63" s="36">
        <f>AVERAGE(B38:B62)</f>
        <v>248.60639999999995</v>
      </c>
      <c r="C63" s="32">
        <f>AVERAGE(C38:C62)</f>
        <v>488.98079999999987</v>
      </c>
      <c r="D63" s="32">
        <f>AVERAGE(D38:D62)</f>
        <v>442.88160000000011</v>
      </c>
      <c r="E63" s="32">
        <f>AVERAGE(E38:E62)</f>
        <v>464.28479999999996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s="31" customFormat="1" ht="14.25" customHeight="1" x14ac:dyDescent="0.2">
      <c r="A64" s="31" t="s">
        <v>351</v>
      </c>
      <c r="B64" s="36">
        <f>SUM(B38:B62)</f>
        <v>6215.1599999999989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s="27" customFormat="1" ht="14.2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s="31" customFormat="1" ht="14.25" customHeight="1" x14ac:dyDescent="0.2">
      <c r="A66" s="31" t="s">
        <v>262</v>
      </c>
      <c r="B66" s="77" t="str">
        <f>B6</f>
        <v>Erdsonde-WP</v>
      </c>
      <c r="C66" s="77" t="str">
        <f>C6</f>
        <v>Pelletheizung</v>
      </c>
      <c r="D66" s="77" t="str">
        <f>D6</f>
        <v>Erdgas</v>
      </c>
      <c r="E66" s="77" t="str">
        <f>E6</f>
        <v>Erdöl</v>
      </c>
      <c r="F66" s="55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s="31" customFormat="1" ht="14.25" customHeight="1" x14ac:dyDescent="0.2">
      <c r="A67" s="78">
        <v>-0.5</v>
      </c>
      <c r="B67" s="36">
        <f>(1+$A67)*Förderungen!B$20+Förderungen!B$21+Förderungen!B$22-B$63</f>
        <v>3010.3434351448964</v>
      </c>
      <c r="C67" s="36">
        <f>(1+$A67)*Förderungen!C$20+Förderungen!C$21+Förderungen!C$22-C$63</f>
        <v>5282.5528802542258</v>
      </c>
      <c r="D67" s="36">
        <f>(1+$A67)*Förderungen!D$20+Förderungen!D$21+Förderungen!D$22-D$63</f>
        <v>3923.1811507261141</v>
      </c>
      <c r="E67" s="36">
        <f>(1+$A67)*Förderungen!E$20+Förderungen!E$21+Förderungen!E$22-E$63</f>
        <v>4643.6044738498576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s="31" customFormat="1" ht="14.25" customHeight="1" x14ac:dyDescent="0.2">
      <c r="A68" s="78">
        <v>0</v>
      </c>
      <c r="B68" s="36">
        <f>(1+$A68)*Förderungen!B$20+Förderungen!B$21+Förderungen!B$22-B$63</f>
        <v>3362.0701313648965</v>
      </c>
      <c r="C68" s="36">
        <f>(1+$A68)*Förderungen!C$20+Förderungen!C$21+Förderungen!C$22-C$63</f>
        <v>5511.4580300405787</v>
      </c>
      <c r="D68" s="36">
        <f>(1+$A68)*Förderungen!D$20+Förderungen!D$21+Förderungen!D$22-D$63</f>
        <v>4320.9801062292727</v>
      </c>
      <c r="E68" s="36">
        <f>(1+$A68)*Förderungen!E$20+Förderungen!E$21+Förderungen!E$22-E$63</f>
        <v>4985.1526831988776</v>
      </c>
      <c r="F68" s="32"/>
      <c r="G68" s="163">
        <f>B70/B68-1</f>
        <v>0.20923221853031926</v>
      </c>
      <c r="H68" s="163">
        <f>C70/C68-1</f>
        <v>8.306518839069077E-2</v>
      </c>
      <c r="I68" s="163">
        <f>D70/D68-1</f>
        <v>0.18412440961238263</v>
      </c>
      <c r="J68" s="163">
        <f>E70/E68-1</f>
        <v>0.13702617795443506</v>
      </c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s="31" customFormat="1" ht="14.25" customHeight="1" x14ac:dyDescent="0.2">
      <c r="A69" s="78">
        <v>0.5</v>
      </c>
      <c r="B69" s="36">
        <f>(1+$A69)*Förderungen!B$20+Förderungen!B$21+Förderungen!B$22-B$63</f>
        <v>3713.7968275848962</v>
      </c>
      <c r="C69" s="36">
        <f>(1+$A69)*Förderungen!C$20+Förderungen!C$21+Förderungen!C$22-C$63</f>
        <v>5740.3631798269316</v>
      </c>
      <c r="D69" s="36">
        <f>(1+$A69)*Förderungen!D$20+Förderungen!D$21+Förderungen!D$22-D$63</f>
        <v>4718.7790617324299</v>
      </c>
      <c r="E69" s="36">
        <f>(1+$A69)*Förderungen!E$20+Förderungen!E$21+Förderungen!E$22-E$63</f>
        <v>5326.7008925478976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s="31" customFormat="1" ht="14.25" customHeight="1" x14ac:dyDescent="0.2">
      <c r="A70" s="78">
        <v>1</v>
      </c>
      <c r="B70" s="36">
        <f>(1+$A70)*Förderungen!B$20+Förderungen!B$21+Förderungen!B$22-B$63</f>
        <v>4065.5235238048958</v>
      </c>
      <c r="C70" s="36">
        <f>(1+$A70)*Förderungen!C$20+Förderungen!C$21+Förderungen!C$22-C$63</f>
        <v>5969.2683296132845</v>
      </c>
      <c r="D70" s="36">
        <f>(1+$A70)*Förderungen!D$20+Förderungen!D$21+Förderungen!D$22-D$63</f>
        <v>5116.578017235588</v>
      </c>
      <c r="E70" s="36">
        <f>(1+$A70)*Förderungen!E$20+Förderungen!E$21+Förderungen!E$22-E$63</f>
        <v>5668.2491018969167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s="31" customFormat="1" ht="14.25" customHeight="1" x14ac:dyDescent="0.2">
      <c r="A71" s="78">
        <v>1.5</v>
      </c>
      <c r="B71" s="36">
        <f>(1+$A71)*Förderungen!B$20+Förderungen!B$21+Förderungen!B$22-B$63</f>
        <v>4417.2502200248973</v>
      </c>
      <c r="C71" s="36">
        <f>(1+$A71)*Förderungen!C$20+Förderungen!C$21+Förderungen!C$22-C$63</f>
        <v>6198.1734793996375</v>
      </c>
      <c r="D71" s="36">
        <f>(1+$A71)*Förderungen!D$20+Förderungen!D$21+Förderungen!D$22-D$63</f>
        <v>5514.3769727387462</v>
      </c>
      <c r="E71" s="36">
        <f>(1+$A71)*Förderungen!E$20+Förderungen!E$21+Förderungen!E$22-E$63</f>
        <v>6009.7973112459367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s="31" customFormat="1" ht="14.25" customHeight="1" x14ac:dyDescent="0.2">
      <c r="A72" s="78">
        <v>2</v>
      </c>
      <c r="B72" s="36">
        <f>(1+$A72)*Förderungen!B$20+Förderungen!B$21+Förderungen!B$22-B$63</f>
        <v>4768.9769162448965</v>
      </c>
      <c r="C72" s="36">
        <f>(1+$A72)*Förderungen!C$20+Förderungen!C$21+Förderungen!C$22-C$63</f>
        <v>6427.0786291859904</v>
      </c>
      <c r="D72" s="36">
        <f>(1+$A72)*Förderungen!D$20+Förderungen!D$21+Förderungen!D$22-D$63</f>
        <v>5912.1759282419034</v>
      </c>
      <c r="E72" s="36">
        <f>(1+$A72)*Förderungen!E$20+Förderungen!E$21+Förderungen!E$22-E$63</f>
        <v>6351.3455205949567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s="31" customFormat="1" ht="14.25" customHeight="1" x14ac:dyDescent="0.2">
      <c r="A73" s="78">
        <v>2.5</v>
      </c>
      <c r="B73" s="36">
        <f>(1+$A73)*Förderungen!B$20+Förderungen!B$21+Förderungen!B$22-B$63</f>
        <v>5120.7036124648967</v>
      </c>
      <c r="C73" s="36">
        <f>(1+$A73)*Förderungen!C$20+Förderungen!C$21+Förderungen!C$22-C$63</f>
        <v>6655.9837789723433</v>
      </c>
      <c r="D73" s="36">
        <f>(1+$A73)*Förderungen!D$20+Förderungen!D$21+Förderungen!D$22-D$63</f>
        <v>6309.9748837450616</v>
      </c>
      <c r="E73" s="36">
        <f>(1+$A73)*Förderungen!E$20+Förderungen!E$21+Förderungen!E$22-E$63</f>
        <v>6692.8937299439758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s="27" customFormat="1" ht="14.2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1:21" s="27" customFormat="1" ht="14.2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s="27" customFormat="1" ht="14.2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s="31" customFormat="1" ht="14.25" customHeight="1" x14ac:dyDescent="0.2">
      <c r="B77" s="77" t="str">
        <f>Förderungen!B3</f>
        <v>Erdsonde-WP</v>
      </c>
      <c r="C77" s="77" t="str">
        <f>Förderungen!C3</f>
        <v>Pelletheizung</v>
      </c>
      <c r="D77" s="77" t="str">
        <f>Förderungen!D3</f>
        <v>Erdgas</v>
      </c>
      <c r="E77" s="77" t="str">
        <f>Förderungen!E3</f>
        <v>Erdöl</v>
      </c>
      <c r="F77" s="77"/>
      <c r="G77" s="32"/>
      <c r="H77" s="77"/>
      <c r="I77" s="32"/>
      <c r="J77" s="77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s="31" customFormat="1" ht="14.25" customHeight="1" x14ac:dyDescent="0.2">
      <c r="A78" s="31" t="s">
        <v>283</v>
      </c>
      <c r="B78" s="79">
        <f>Förderungen!B20</f>
        <v>703.45339244000002</v>
      </c>
      <c r="C78" s="79">
        <f>Förderungen!C20</f>
        <v>457.81029957270596</v>
      </c>
      <c r="D78" s="79">
        <f>Förderungen!D20</f>
        <v>795.59791100631583</v>
      </c>
      <c r="E78" s="79">
        <f>Förderungen!E20</f>
        <v>683.0964186980392</v>
      </c>
      <c r="F78" s="79"/>
      <c r="G78" s="79"/>
      <c r="H78" s="79"/>
      <c r="I78" s="79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s="31" customFormat="1" ht="14.25" customHeight="1" x14ac:dyDescent="0.2">
      <c r="A79" s="31" t="s">
        <v>282</v>
      </c>
      <c r="B79" s="79">
        <f>Förderungen!B21</f>
        <v>1</v>
      </c>
      <c r="C79" s="79">
        <f>Förderungen!C21</f>
        <v>400</v>
      </c>
      <c r="D79" s="79">
        <f>Förderungen!D21</f>
        <v>0</v>
      </c>
      <c r="E79" s="79">
        <f>Förderungen!E21</f>
        <v>400</v>
      </c>
      <c r="F79" s="79"/>
      <c r="G79" s="79"/>
      <c r="H79" s="79"/>
      <c r="I79" s="79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s="31" customFormat="1" ht="14.25" customHeight="1" x14ac:dyDescent="0.2">
      <c r="A80" s="31" t="s">
        <v>55</v>
      </c>
      <c r="B80" s="79">
        <f>Förderungen!B22</f>
        <v>2906.2231389248964</v>
      </c>
      <c r="C80" s="79">
        <f>Förderungen!C22</f>
        <v>5142.6285304678731</v>
      </c>
      <c r="D80" s="79">
        <f>Förderungen!D22</f>
        <v>3968.2637952229561</v>
      </c>
      <c r="E80" s="79">
        <f>Förderungen!E22</f>
        <v>4366.3410645008389</v>
      </c>
      <c r="F80" s="79"/>
      <c r="G80" s="79"/>
      <c r="H80" s="79"/>
      <c r="I80" s="79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s="31" customFormat="1" ht="14.25" customHeight="1" x14ac:dyDescent="0.2">
      <c r="A81" s="31" t="s">
        <v>284</v>
      </c>
      <c r="B81" s="80">
        <f>-B63</f>
        <v>-248.60639999999995</v>
      </c>
      <c r="C81" s="80">
        <f>-C63</f>
        <v>-488.98079999999987</v>
      </c>
      <c r="D81" s="80">
        <f>-D63</f>
        <v>-442.88160000000011</v>
      </c>
      <c r="E81" s="80">
        <f>-E63</f>
        <v>-464.28479999999996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s="31" customFormat="1" ht="14.25" customHeight="1" x14ac:dyDescent="0.2">
      <c r="A82" s="31" t="s">
        <v>468</v>
      </c>
      <c r="B82" s="81">
        <f>SUM(B78:B81)</f>
        <v>3362.0701313648965</v>
      </c>
      <c r="C82" s="81">
        <f>SUM(C78:C81)</f>
        <v>5511.4580300405787</v>
      </c>
      <c r="D82" s="81">
        <f>SUM(D78:D81)</f>
        <v>4320.9801062292727</v>
      </c>
      <c r="E82" s="81">
        <f>SUM(E78:E81)</f>
        <v>4985.1526831988776</v>
      </c>
      <c r="F82" s="81"/>
      <c r="G82" s="81"/>
      <c r="H82" s="81"/>
      <c r="I82" s="81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</sheetData>
  <customSheetViews>
    <customSheetView guid="{11DD1BF8-C577-48F3-8516-9D608BF5BCA7}" state="hidden">
      <selection activeCell="K28" sqref="K28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71"/>
  <sheetViews>
    <sheetView showGridLines="0" showRowColHeaders="0" topLeftCell="A25" zoomScaleNormal="100" workbookViewId="0">
      <selection activeCell="A54" sqref="A54"/>
    </sheetView>
  </sheetViews>
  <sheetFormatPr baseColWidth="10" defaultRowHeight="12.75" x14ac:dyDescent="0.2"/>
  <cols>
    <col min="1" max="1" width="37.85546875" style="27" customWidth="1"/>
    <col min="2" max="5" width="14.5703125" style="34" customWidth="1"/>
    <col min="6" max="6" width="12.7109375" style="34" customWidth="1"/>
    <col min="7" max="7" width="5.85546875" style="34" customWidth="1"/>
    <col min="8" max="8" width="37" style="35" hidden="1" customWidth="1"/>
    <col min="9" max="9" width="23.42578125" style="36" hidden="1" customWidth="1"/>
    <col min="10" max="10" width="13.5703125" style="36" hidden="1" customWidth="1"/>
    <col min="11" max="11" width="7.5703125" style="36" hidden="1" customWidth="1"/>
    <col min="12" max="12" width="8.7109375" style="36" hidden="1" customWidth="1"/>
    <col min="13" max="13" width="8.140625" style="36" hidden="1" customWidth="1"/>
    <col min="14" max="14" width="7.5703125" style="32" hidden="1" customWidth="1"/>
    <col min="15" max="15" width="13.140625" style="34" customWidth="1"/>
    <col min="16" max="16" width="13.140625" style="37" customWidth="1"/>
    <col min="17" max="16384" width="11.42578125" style="27"/>
  </cols>
  <sheetData>
    <row r="1" spans="1:16" x14ac:dyDescent="0.2">
      <c r="A1" s="41" t="s">
        <v>125</v>
      </c>
      <c r="B1" s="107" t="str">
        <f>INDEX($I2:$N2,I1)</f>
        <v>Erdsonde-WP</v>
      </c>
      <c r="C1" s="106" t="str">
        <f>INDEX($I2:$N2,J1)</f>
        <v>Pelletheizung</v>
      </c>
      <c r="D1" s="105" t="str">
        <f>INDEX($I2:$N2,K1)</f>
        <v>Erdgas</v>
      </c>
      <c r="E1" s="42" t="str">
        <f>INDEX($I2:$N2,L1)</f>
        <v>Erdöl</v>
      </c>
      <c r="F1" s="42"/>
      <c r="G1" s="39"/>
      <c r="H1" s="40"/>
      <c r="I1" s="170">
        <v>1</v>
      </c>
      <c r="J1" s="170">
        <v>2</v>
      </c>
      <c r="K1" s="170">
        <v>3</v>
      </c>
      <c r="L1" s="170">
        <v>4</v>
      </c>
      <c r="M1" s="170"/>
      <c r="N1" s="171"/>
    </row>
    <row r="2" spans="1:16" s="24" customFormat="1" x14ac:dyDescent="0.2">
      <c r="A2" s="21" t="s">
        <v>270</v>
      </c>
      <c r="B2" s="45">
        <f>INDEX(I3:N3,$I$1)</f>
        <v>8131.0445279999994</v>
      </c>
      <c r="C2" s="45">
        <f>INDEX(I3:N3,$J$1)</f>
        <v>8131.0445279999994</v>
      </c>
      <c r="D2" s="45">
        <f>INDEX(I3:N3,$K$1)</f>
        <v>8131.0445279999994</v>
      </c>
      <c r="E2" s="45">
        <f>INDEX(I3:N3,$L$1)</f>
        <v>8131.0445279999994</v>
      </c>
      <c r="F2" s="22" t="s">
        <v>117</v>
      </c>
      <c r="G2" s="25"/>
      <c r="H2" s="38"/>
      <c r="I2" s="172" t="s">
        <v>463</v>
      </c>
      <c r="J2" s="172" t="s">
        <v>137</v>
      </c>
      <c r="K2" s="172" t="s">
        <v>73</v>
      </c>
      <c r="L2" s="172" t="s">
        <v>74</v>
      </c>
      <c r="M2" s="172" t="s">
        <v>464</v>
      </c>
      <c r="N2" s="173" t="s">
        <v>187</v>
      </c>
      <c r="O2" s="25"/>
      <c r="P2" s="44"/>
    </row>
    <row r="3" spans="1:16" ht="25.5" x14ac:dyDescent="0.2">
      <c r="A3" s="21" t="s">
        <v>116</v>
      </c>
      <c r="B3" s="45">
        <f>INDEX(I4:N4,$I$1)</f>
        <v>3810.5999999999995</v>
      </c>
      <c r="C3" s="45">
        <f>INDEX(I4:N4,$J$1)</f>
        <v>3810.5999999999995</v>
      </c>
      <c r="D3" s="45">
        <f>INDEX(I4:N4,$K$1)</f>
        <v>3810.5999999999995</v>
      </c>
      <c r="E3" s="45">
        <f>INDEX(I4:N4,$L$1)</f>
        <v>3810.5999999999995</v>
      </c>
      <c r="F3" s="22" t="s">
        <v>117</v>
      </c>
      <c r="G3" s="22"/>
      <c r="H3" s="46" t="s">
        <v>271</v>
      </c>
      <c r="I3" s="174">
        <f>IF(I1=6,0,(Verbrauch!$B12+Verbrauch!$B15)/3.6*Übersicht!$B6)</f>
        <v>8131.0445279999994</v>
      </c>
      <c r="J3" s="174">
        <f>IF(J1=6,0,(Verbrauch!$B12+Verbrauch!$B15)/3.6*Übersicht!$B6)</f>
        <v>8131.0445279999994</v>
      </c>
      <c r="K3" s="174">
        <f>IF(K1=6,0,(Verbrauch!$B12+Verbrauch!$B15)/3.6*Übersicht!$B6)</f>
        <v>8131.0445279999994</v>
      </c>
      <c r="L3" s="174">
        <f>IF(L1=6,0,(Verbrauch!$B12+Verbrauch!$B15)/3.6*Übersicht!$B6)</f>
        <v>8131.0445279999994</v>
      </c>
      <c r="M3" s="174">
        <f>IF(M1=6,0,(Verbrauch!$B12+Verbrauch!$B15)/3.6*Übersicht!$B6)</f>
        <v>8131.0445279999994</v>
      </c>
      <c r="N3" s="174">
        <f>(Verbrauch!$B12+Verbrauch!$B15)/3.6*Übersicht!$B6</f>
        <v>8131.0445279999994</v>
      </c>
    </row>
    <row r="4" spans="1:16" x14ac:dyDescent="0.2">
      <c r="A4" s="21" t="s">
        <v>235</v>
      </c>
      <c r="B4" s="45">
        <f>SolarGewinn!B45</f>
        <v>0</v>
      </c>
      <c r="C4" s="45">
        <f>SolarGewinn!C45</f>
        <v>5731.9893734399993</v>
      </c>
      <c r="D4" s="45">
        <f>SolarGewinn!D45</f>
        <v>5731.9893734399993</v>
      </c>
      <c r="E4" s="45">
        <f>SolarGewinn!E45</f>
        <v>5731.9893734399993</v>
      </c>
      <c r="F4" s="22" t="s">
        <v>117</v>
      </c>
      <c r="G4" s="22"/>
      <c r="H4" s="46" t="s">
        <v>272</v>
      </c>
      <c r="I4" s="174">
        <f>Verbrauch!$B19</f>
        <v>3810.5999999999995</v>
      </c>
      <c r="J4" s="174">
        <f>Verbrauch!$B19</f>
        <v>3810.5999999999995</v>
      </c>
      <c r="K4" s="174">
        <f>Verbrauch!$B19</f>
        <v>3810.5999999999995</v>
      </c>
      <c r="L4" s="174">
        <f>Verbrauch!$B19</f>
        <v>3810.5999999999995</v>
      </c>
      <c r="M4" s="174">
        <f>Verbrauch!$B19</f>
        <v>3810.5999999999995</v>
      </c>
      <c r="N4" s="174">
        <f>Verbrauch!$B19</f>
        <v>3810.5999999999995</v>
      </c>
    </row>
    <row r="5" spans="1:16" x14ac:dyDescent="0.2">
      <c r="A5" s="21"/>
      <c r="B5" s="45"/>
      <c r="C5" s="45"/>
      <c r="D5" s="45"/>
      <c r="E5" s="45"/>
      <c r="F5" s="22"/>
      <c r="G5" s="22"/>
      <c r="H5" s="47"/>
      <c r="I5" s="174"/>
      <c r="J5" s="174"/>
      <c r="K5" s="174"/>
      <c r="L5" s="174"/>
      <c r="M5" s="174"/>
      <c r="N5" s="171"/>
    </row>
    <row r="6" spans="1:16" x14ac:dyDescent="0.2">
      <c r="A6" s="21" t="s">
        <v>300</v>
      </c>
      <c r="B6" s="45">
        <f>(B2-B4)/INDEX(Parameter!$J9:$O9,Ergebnisse!I1)</f>
        <v>2032.7611319999999</v>
      </c>
      <c r="C6" s="45">
        <f>(C2-C4)/INDEX(Parameter!$J9:$O9,Ergebnisse!J1)</f>
        <v>2822.417828894118</v>
      </c>
      <c r="D6" s="45">
        <f>(D2-D4)/INDEX(Parameter!$J9:$O9,Ergebnisse!K1)</f>
        <v>2525.3212153263162</v>
      </c>
      <c r="E6" s="45">
        <f>(E2-E4)/INDEX(Parameter!$J9:$O9,Ergebnisse!L1)</f>
        <v>2665.6168384000002</v>
      </c>
      <c r="F6" s="22" t="s">
        <v>117</v>
      </c>
      <c r="G6" s="22"/>
      <c r="H6" s="47"/>
      <c r="I6" s="174"/>
      <c r="J6" s="174"/>
      <c r="K6" s="174"/>
      <c r="L6" s="174"/>
      <c r="M6" s="174"/>
      <c r="N6" s="171"/>
    </row>
    <row r="7" spans="1:16" ht="25.5" x14ac:dyDescent="0.2">
      <c r="A7" s="21" t="s">
        <v>301</v>
      </c>
      <c r="B7" s="45">
        <f>B3/INDEX(Parameter!$J10:$O10,I1)</f>
        <v>1270.1999999999998</v>
      </c>
      <c r="C7" s="45">
        <f>C3/INDEX(Parameter!$J10:$O10,J1)</f>
        <v>4483.0588235294108</v>
      </c>
      <c r="D7" s="45">
        <f>D3/INDEX(Parameter!$J10:$O10,K1)</f>
        <v>4011.1578947368416</v>
      </c>
      <c r="E7" s="45">
        <f>E3/INDEX(Parameter!$J10:$O10,L1)</f>
        <v>4233.9999999999991</v>
      </c>
      <c r="F7" s="22" t="s">
        <v>117</v>
      </c>
      <c r="G7" s="22"/>
      <c r="H7" s="46" t="s">
        <v>273</v>
      </c>
      <c r="I7" s="174"/>
      <c r="J7" s="174"/>
      <c r="K7" s="174"/>
      <c r="L7" s="174"/>
      <c r="M7" s="174"/>
      <c r="N7" s="171"/>
    </row>
    <row r="8" spans="1:16" x14ac:dyDescent="0.2">
      <c r="A8" s="21" t="s">
        <v>277</v>
      </c>
      <c r="B8" s="45">
        <f>Parameter!$B$33</f>
        <v>835</v>
      </c>
      <c r="C8" s="45">
        <f>Parameter!$B$33</f>
        <v>835</v>
      </c>
      <c r="D8" s="45">
        <f>Parameter!$B$33</f>
        <v>835</v>
      </c>
      <c r="E8" s="45">
        <f>Parameter!$B$33</f>
        <v>835</v>
      </c>
      <c r="F8" s="22" t="s">
        <v>117</v>
      </c>
      <c r="G8" s="22"/>
      <c r="H8" s="46"/>
      <c r="I8" s="174"/>
      <c r="J8" s="174"/>
      <c r="K8" s="174"/>
      <c r="L8" s="174"/>
      <c r="M8" s="174"/>
      <c r="N8" s="171"/>
    </row>
    <row r="9" spans="1:16" x14ac:dyDescent="0.2">
      <c r="A9" s="21" t="s">
        <v>278</v>
      </c>
      <c r="B9" s="45">
        <f>SolarGewinn!B33</f>
        <v>4143.4400000000005</v>
      </c>
      <c r="C9" s="45">
        <f>SolarGewinn!C33</f>
        <v>8149.68</v>
      </c>
      <c r="D9" s="45">
        <f>SolarGewinn!D33</f>
        <v>7381.36</v>
      </c>
      <c r="E9" s="45">
        <f>SolarGewinn!E33</f>
        <v>7738.0800000000008</v>
      </c>
      <c r="F9" s="22" t="s">
        <v>117</v>
      </c>
      <c r="G9" s="22"/>
      <c r="H9" s="46"/>
      <c r="I9" s="174"/>
      <c r="J9" s="174"/>
      <c r="K9" s="174"/>
      <c r="L9" s="174"/>
      <c r="M9" s="174"/>
      <c r="N9" s="171"/>
    </row>
    <row r="10" spans="1:16" ht="13.5" thickBot="1" x14ac:dyDescent="0.25">
      <c r="A10" s="48" t="s">
        <v>263</v>
      </c>
      <c r="B10" s="49">
        <f>IF(I1=6,0,B7+B6+B8-B9)</f>
        <v>-5.4788680000010572</v>
      </c>
      <c r="C10" s="49">
        <f>IF(J1=6,0,C7+C6+C8-C9)</f>
        <v>-9.2033475764710602</v>
      </c>
      <c r="D10" s="49">
        <f>IF(K1=6,0,D7+D6+D8-D9)</f>
        <v>-9.8808899368423226</v>
      </c>
      <c r="E10" s="49">
        <f>IF(L1=6,0,E7+E6+E8-E9)</f>
        <v>-3.4631616000015129</v>
      </c>
      <c r="F10" s="50" t="s">
        <v>117</v>
      </c>
      <c r="G10" s="22"/>
      <c r="H10" s="46"/>
      <c r="I10" s="174"/>
      <c r="J10" s="174"/>
      <c r="K10" s="174"/>
      <c r="L10" s="174"/>
      <c r="M10" s="174"/>
      <c r="N10" s="171"/>
    </row>
    <row r="11" spans="1:16" ht="13.5" thickTop="1" x14ac:dyDescent="0.2">
      <c r="A11" s="21"/>
      <c r="B11" s="45"/>
      <c r="C11" s="45"/>
      <c r="D11" s="45"/>
      <c r="E11" s="45"/>
      <c r="G11" s="22"/>
      <c r="H11" s="47"/>
      <c r="I11" s="174"/>
      <c r="J11" s="174"/>
      <c r="K11" s="174"/>
      <c r="L11" s="174"/>
      <c r="M11" s="174"/>
      <c r="N11" s="171"/>
    </row>
    <row r="12" spans="1:16" ht="13.5" thickBot="1" x14ac:dyDescent="0.25">
      <c r="A12" s="48" t="s">
        <v>333</v>
      </c>
      <c r="B12" s="87">
        <f>(B8*Parameter!$B$40+(B6+B7)*I13)/1000</f>
        <v>9.9311067167999992E-2</v>
      </c>
      <c r="C12" s="87">
        <f>(C8*Parameter!$B$40+(C6+C7)*J13)/1000</f>
        <v>2.0039999999999999E-2</v>
      </c>
      <c r="D12" s="87">
        <f>(D8*Parameter!$B$40+(D6+D7)*K13)/1000</f>
        <v>1.3818064812631576</v>
      </c>
      <c r="E12" s="87">
        <f>(E8*Parameter!$B$40+(E6+E7)*L13)/1000</f>
        <v>2.1282562561777776</v>
      </c>
      <c r="F12" s="50" t="s">
        <v>334</v>
      </c>
      <c r="H12" s="47"/>
      <c r="I12" s="174" t="s">
        <v>332</v>
      </c>
      <c r="J12" s="174"/>
      <c r="K12" s="174"/>
      <c r="L12" s="174"/>
      <c r="M12" s="174"/>
      <c r="N12" s="171"/>
    </row>
    <row r="13" spans="1:16" ht="13.5" thickTop="1" x14ac:dyDescent="0.2">
      <c r="A13" s="21"/>
      <c r="B13" s="45"/>
      <c r="C13" s="45"/>
      <c r="D13" s="45"/>
      <c r="E13" s="45"/>
      <c r="H13" s="47"/>
      <c r="I13" s="175">
        <f>INDEX(Parameter!$B$40:$B$44,Ergebnisse!I1)</f>
        <v>2.4E-2</v>
      </c>
      <c r="J13" s="175">
        <f>INDEX(Parameter!$B$40:$B$44,Ergebnisse!J1)</f>
        <v>0</v>
      </c>
      <c r="K13" s="175">
        <f>INDEX(Parameter!$B$40:$B$44,Ergebnisse!K1)</f>
        <v>0.20833333333333331</v>
      </c>
      <c r="L13" s="175">
        <f>INDEX(Parameter!$B$40:$B$44,Ergebnisse!L1)</f>
        <v>0.30555555555555558</v>
      </c>
      <c r="M13" s="175"/>
      <c r="N13" s="171"/>
    </row>
    <row r="14" spans="1:16" x14ac:dyDescent="0.2">
      <c r="A14" s="21" t="s">
        <v>134</v>
      </c>
      <c r="B14" s="45">
        <f>Übersicht!E$4*Ergebnisse!B6</f>
        <v>345.56939244</v>
      </c>
      <c r="C14" s="45">
        <f>Übersicht!G$4*Ergebnisse!C6</f>
        <v>84.67253486682354</v>
      </c>
      <c r="D14" s="45">
        <f>Übersicht!I$4*Ergebnisse!D6</f>
        <v>252.53212153263163</v>
      </c>
      <c r="E14" s="45">
        <f>Übersicht!K$4*Ergebnisse!E6</f>
        <v>209.06798732549021</v>
      </c>
      <c r="F14" s="22" t="str">
        <f>Ortsdaten!$G$11</f>
        <v>Fr. / a</v>
      </c>
      <c r="H14" s="47"/>
      <c r="I14" s="174"/>
      <c r="J14" s="174"/>
      <c r="K14" s="174"/>
      <c r="L14" s="174"/>
      <c r="M14" s="174"/>
      <c r="N14" s="171"/>
    </row>
    <row r="15" spans="1:16" x14ac:dyDescent="0.2">
      <c r="A15" s="21" t="s">
        <v>133</v>
      </c>
      <c r="B15" s="45">
        <f>Übersicht!E$4*Ergebnisse!B7</f>
        <v>215.934</v>
      </c>
      <c r="C15" s="45">
        <f>Übersicht!G$4*Ergebnisse!C7</f>
        <v>134.49176470588233</v>
      </c>
      <c r="D15" s="45">
        <f>Übersicht!I$4*Ergebnisse!D7</f>
        <v>401.11578947368417</v>
      </c>
      <c r="E15" s="45">
        <f>Übersicht!K$4*Ergebnisse!E7</f>
        <v>332.07843137254895</v>
      </c>
      <c r="F15" s="22" t="str">
        <f>Ortsdaten!$G$11</f>
        <v>Fr. / a</v>
      </c>
      <c r="H15" s="47"/>
      <c r="I15" s="174"/>
      <c r="J15" s="174"/>
      <c r="K15" s="174"/>
      <c r="L15" s="174"/>
      <c r="M15" s="174"/>
      <c r="N15" s="171"/>
    </row>
    <row r="16" spans="1:16" x14ac:dyDescent="0.2">
      <c r="A16" s="21" t="s">
        <v>135</v>
      </c>
      <c r="B16" s="51">
        <f>Verbrauch!$B$16*Kosten!$B$3/3.6*Übersicht!$B$6</f>
        <v>141.95000000000002</v>
      </c>
      <c r="C16" s="51">
        <f>Verbrauch!$B$16*Kosten!$B$3/3.6*Übersicht!$B$6</f>
        <v>141.95000000000002</v>
      </c>
      <c r="D16" s="51">
        <f>Verbrauch!$B$16*Kosten!$B$3/3.6*Übersicht!$B$6</f>
        <v>141.95000000000002</v>
      </c>
      <c r="E16" s="51">
        <f>Verbrauch!$B$16*Kosten!$B$3/3.6*Übersicht!$B$6</f>
        <v>141.95000000000002</v>
      </c>
      <c r="F16" s="22" t="str">
        <f>Ortsdaten!$G$11</f>
        <v>Fr. / a</v>
      </c>
      <c r="H16" s="47"/>
      <c r="I16" s="174"/>
      <c r="J16" s="174"/>
      <c r="K16" s="174"/>
      <c r="L16" s="174"/>
      <c r="M16" s="174"/>
      <c r="N16" s="171"/>
    </row>
    <row r="17" spans="1:14" x14ac:dyDescent="0.2">
      <c r="A17" s="21" t="s">
        <v>136</v>
      </c>
      <c r="B17" s="45">
        <f>INDEX(I18:N18,$I$1)</f>
        <v>0</v>
      </c>
      <c r="C17" s="45">
        <f>INDEX(I18:N18,$J$1)</f>
        <v>96.696000000000012</v>
      </c>
      <c r="D17" s="45">
        <f>INDEX(I18:N18,$K$1)</f>
        <v>0</v>
      </c>
      <c r="E17" s="45">
        <f>INDEX(I18:N18,$L$1)</f>
        <v>0</v>
      </c>
      <c r="F17" s="22" t="str">
        <f>Ortsdaten!$G$11</f>
        <v>Fr. / a</v>
      </c>
      <c r="H17" s="47"/>
      <c r="I17" s="174"/>
      <c r="J17" s="174"/>
      <c r="K17" s="174"/>
      <c r="L17" s="174"/>
      <c r="M17" s="174"/>
      <c r="N17" s="171"/>
    </row>
    <row r="18" spans="1:14" ht="13.5" thickBot="1" x14ac:dyDescent="0.25">
      <c r="A18" s="48" t="s">
        <v>310</v>
      </c>
      <c r="B18" s="49">
        <f>IF(I1=6,0,SUM(B14:B17))</f>
        <v>703.45339244000002</v>
      </c>
      <c r="C18" s="49">
        <f>IF(J1=6,0,SUM(C14:C17))</f>
        <v>457.81029957270596</v>
      </c>
      <c r="D18" s="49">
        <f>IF(K1=6,0,SUM(D14:D17))</f>
        <v>795.59791100631583</v>
      </c>
      <c r="E18" s="49">
        <f>IF(L1=6,0,SUM(E14:E17))</f>
        <v>683.0964186980392</v>
      </c>
      <c r="F18" s="50" t="str">
        <f>Ortsdaten!$G$11</f>
        <v>Fr. / a</v>
      </c>
      <c r="H18" s="47"/>
      <c r="I18" s="174"/>
      <c r="J18" s="174">
        <f>Parameter!B18*Parameter!B19*Kosten!B3</f>
        <v>96.696000000000012</v>
      </c>
      <c r="K18" s="174"/>
      <c r="L18" s="174"/>
      <c r="M18" s="174"/>
      <c r="N18" s="171"/>
    </row>
    <row r="19" spans="1:14" ht="13.5" thickTop="1" x14ac:dyDescent="0.2">
      <c r="A19" s="21"/>
      <c r="B19" s="45"/>
      <c r="C19" s="45"/>
      <c r="D19" s="45"/>
      <c r="E19" s="45"/>
      <c r="G19" s="25"/>
      <c r="H19" s="38"/>
      <c r="I19" s="172"/>
      <c r="J19" s="172"/>
      <c r="K19" s="172"/>
      <c r="L19" s="172"/>
      <c r="M19" s="172"/>
      <c r="N19" s="171"/>
    </row>
    <row r="20" spans="1:14" ht="13.5" thickBot="1" x14ac:dyDescent="0.25">
      <c r="A20" s="48" t="s">
        <v>279</v>
      </c>
      <c r="B20" s="49">
        <f>INDEX($I21:$M21,1,I1)</f>
        <v>1</v>
      </c>
      <c r="C20" s="49">
        <f>INDEX($I21:$M21,1,J1)</f>
        <v>400</v>
      </c>
      <c r="D20" s="49">
        <f>INDEX($I21:$M21,1,K1)</f>
        <v>0</v>
      </c>
      <c r="E20" s="49">
        <f>INDEX($I21:$M21,1,L1)</f>
        <v>400</v>
      </c>
      <c r="F20" s="50" t="str">
        <f>Ortsdaten!$G$11</f>
        <v>Fr. / a</v>
      </c>
      <c r="H20" s="47"/>
      <c r="I20" s="174"/>
      <c r="J20" s="174"/>
      <c r="K20" s="174"/>
      <c r="L20" s="174"/>
      <c r="M20" s="174"/>
      <c r="N20" s="171"/>
    </row>
    <row r="21" spans="1:14" ht="13.5" thickTop="1" x14ac:dyDescent="0.2">
      <c r="A21" s="21"/>
      <c r="B21" s="45"/>
      <c r="C21" s="45"/>
      <c r="D21" s="45"/>
      <c r="E21" s="45"/>
      <c r="H21" s="47"/>
      <c r="I21" s="174">
        <f>Kosten!B19</f>
        <v>1</v>
      </c>
      <c r="J21" s="174">
        <f>Kosten!B30</f>
        <v>400</v>
      </c>
      <c r="K21" s="174">
        <f>Kosten!B38</f>
        <v>0</v>
      </c>
      <c r="L21" s="174">
        <f>Kosten!B46</f>
        <v>400</v>
      </c>
      <c r="M21" s="174">
        <f>Kosten!B19</f>
        <v>1</v>
      </c>
      <c r="N21" s="171"/>
    </row>
    <row r="22" spans="1:14" x14ac:dyDescent="0.2">
      <c r="A22" s="21" t="s">
        <v>183</v>
      </c>
      <c r="B22" s="45">
        <f>Gebäude!B60</f>
        <v>0</v>
      </c>
      <c r="C22" s="45">
        <f>Gebäude!B60</f>
        <v>0</v>
      </c>
      <c r="D22" s="45">
        <f>Gebäude!B60</f>
        <v>0</v>
      </c>
      <c r="E22" s="45">
        <f>Gebäude!B60</f>
        <v>0</v>
      </c>
      <c r="F22" s="22" t="str">
        <f>Ortsdaten!$G$12</f>
        <v>Fr.</v>
      </c>
      <c r="H22" s="47"/>
      <c r="I22" s="174"/>
      <c r="J22" s="174"/>
      <c r="K22" s="174"/>
      <c r="L22" s="174"/>
      <c r="M22" s="174"/>
      <c r="N22" s="171"/>
    </row>
    <row r="23" spans="1:14" x14ac:dyDescent="0.2">
      <c r="A23" s="21" t="s">
        <v>138</v>
      </c>
      <c r="B23" s="45">
        <f>INDEX(I24:N24,$I$1)</f>
        <v>28926.520889285712</v>
      </c>
      <c r="C23" s="45">
        <f>INDEX(I24:N24,$J$1)</f>
        <v>24100</v>
      </c>
      <c r="D23" s="45">
        <f>INDEX(I24:N24,$K$1)</f>
        <v>10100</v>
      </c>
      <c r="E23" s="45">
        <f>INDEX(I24:N24,$L$1)</f>
        <v>14600</v>
      </c>
      <c r="F23" s="22" t="str">
        <f>Ortsdaten!$G$12</f>
        <v>Fr.</v>
      </c>
      <c r="G23" s="22"/>
      <c r="H23" s="47"/>
      <c r="I23" s="174"/>
      <c r="J23" s="174"/>
      <c r="K23" s="174"/>
      <c r="L23" s="174"/>
      <c r="M23" s="174"/>
      <c r="N23" s="171"/>
    </row>
    <row r="24" spans="1:14" x14ac:dyDescent="0.2">
      <c r="A24" s="21" t="s">
        <v>139</v>
      </c>
      <c r="B24" s="51">
        <f>Übersicht!E8*Kosten!$B51</f>
        <v>0</v>
      </c>
      <c r="C24" s="51">
        <f>Übersicht!G8*Kosten!$B51</f>
        <v>27000</v>
      </c>
      <c r="D24" s="51">
        <f>Übersicht!I8*Kosten!$B51</f>
        <v>27000</v>
      </c>
      <c r="E24" s="51">
        <f>Übersicht!K8*Kosten!$B51</f>
        <v>27000</v>
      </c>
      <c r="F24" s="22" t="str">
        <f>Ortsdaten!$G$12</f>
        <v>Fr.</v>
      </c>
      <c r="H24" s="47"/>
      <c r="I24" s="174">
        <f>Kosten!B5</f>
        <v>28926.520889285712</v>
      </c>
      <c r="J24" s="174">
        <f>Kosten!B24</f>
        <v>24100</v>
      </c>
      <c r="K24" s="174">
        <f>Kosten!B34</f>
        <v>10100</v>
      </c>
      <c r="L24" s="174">
        <f>Kosten!B42</f>
        <v>14600</v>
      </c>
      <c r="M24" s="174">
        <f>Kosten!B14</f>
        <v>21100</v>
      </c>
      <c r="N24" s="171"/>
    </row>
    <row r="25" spans="1:14" x14ac:dyDescent="0.2">
      <c r="A25" s="21" t="s">
        <v>160</v>
      </c>
      <c r="B25" s="51">
        <f>Übersicht!E7*Kosten!$B54</f>
        <v>10570.000000000002</v>
      </c>
      <c r="C25" s="51">
        <f>Übersicht!G7*Kosten!$B54</f>
        <v>20790</v>
      </c>
      <c r="D25" s="51">
        <f>Übersicht!I7*Kosten!$B54</f>
        <v>18830</v>
      </c>
      <c r="E25" s="51">
        <f>Übersicht!K7*Kosten!$B54</f>
        <v>19740.000000000004</v>
      </c>
      <c r="F25" s="22" t="str">
        <f>Ortsdaten!$G$12</f>
        <v>Fr.</v>
      </c>
      <c r="G25" s="22"/>
      <c r="H25" s="47"/>
      <c r="I25" s="174"/>
      <c r="J25" s="174"/>
      <c r="K25" s="174"/>
      <c r="L25" s="174"/>
      <c r="M25" s="174"/>
      <c r="N25" s="171"/>
    </row>
    <row r="26" spans="1:14" ht="13.5" thickBot="1" x14ac:dyDescent="0.25">
      <c r="A26" s="48" t="s">
        <v>280</v>
      </c>
      <c r="B26" s="52">
        <f>Förderungen!B22</f>
        <v>2906.2231389248964</v>
      </c>
      <c r="C26" s="52">
        <f>Förderungen!C22</f>
        <v>5142.6285304678731</v>
      </c>
      <c r="D26" s="52">
        <f>Förderungen!D22</f>
        <v>3968.2637952229561</v>
      </c>
      <c r="E26" s="52">
        <f>Förderungen!E22</f>
        <v>4366.3410645008389</v>
      </c>
      <c r="F26" s="217" t="str">
        <f>Ortsdaten!$G$12</f>
        <v>Fr.</v>
      </c>
      <c r="H26" s="47"/>
      <c r="I26" s="174"/>
      <c r="J26" s="174"/>
      <c r="K26" s="174"/>
      <c r="L26" s="174"/>
      <c r="M26" s="174"/>
      <c r="N26" s="171"/>
    </row>
    <row r="27" spans="1:14" ht="13.5" thickTop="1" x14ac:dyDescent="0.2">
      <c r="B27" s="27"/>
      <c r="C27" s="27"/>
      <c r="D27" s="27"/>
      <c r="E27" s="27"/>
      <c r="F27" s="27"/>
      <c r="H27" s="47"/>
      <c r="I27" s="176" t="s">
        <v>166</v>
      </c>
      <c r="J27" s="174"/>
      <c r="K27" s="174"/>
      <c r="L27" s="174"/>
      <c r="M27" s="174"/>
      <c r="N27" s="171"/>
    </row>
    <row r="28" spans="1:14" x14ac:dyDescent="0.2">
      <c r="G28" s="22"/>
      <c r="I28" s="177" t="str">
        <f>I2</f>
        <v>Erdsonde-WP</v>
      </c>
      <c r="J28" s="174"/>
      <c r="K28" s="174"/>
      <c r="L28" s="174"/>
      <c r="M28" s="174"/>
      <c r="N28" s="171"/>
    </row>
    <row r="29" spans="1:14" x14ac:dyDescent="0.2">
      <c r="I29" s="177" t="str">
        <f>J2</f>
        <v>Pelletheizung</v>
      </c>
      <c r="J29" s="174"/>
      <c r="K29" s="174"/>
      <c r="L29" s="174"/>
      <c r="M29" s="174"/>
      <c r="N29" s="171"/>
    </row>
    <row r="30" spans="1:14" x14ac:dyDescent="0.2">
      <c r="I30" s="177" t="str">
        <f>K2</f>
        <v>Erdgas</v>
      </c>
      <c r="J30" s="174"/>
      <c r="K30" s="174"/>
      <c r="L30" s="174"/>
      <c r="M30" s="174"/>
      <c r="N30" s="171"/>
    </row>
    <row r="31" spans="1:14" x14ac:dyDescent="0.2">
      <c r="I31" s="177" t="str">
        <f>L2</f>
        <v>Erdöl</v>
      </c>
      <c r="J31" s="174"/>
      <c r="K31" s="174"/>
      <c r="L31" s="174"/>
      <c r="M31" s="174"/>
      <c r="N31" s="171"/>
    </row>
    <row r="32" spans="1:14" x14ac:dyDescent="0.2">
      <c r="I32" s="174" t="str">
        <f>M2</f>
        <v>Luft-WP</v>
      </c>
      <c r="J32" s="174"/>
      <c r="K32" s="174"/>
      <c r="L32" s="174"/>
      <c r="M32" s="174"/>
      <c r="N32" s="171"/>
    </row>
    <row r="33" spans="1:16" x14ac:dyDescent="0.2">
      <c r="I33" s="178" t="str">
        <f>N2</f>
        <v>keine</v>
      </c>
      <c r="J33" s="174"/>
      <c r="K33" s="174"/>
      <c r="L33" s="174"/>
      <c r="M33" s="174"/>
      <c r="N33" s="171"/>
    </row>
    <row r="46" spans="1:16" x14ac:dyDescent="0.2">
      <c r="A46" s="24"/>
      <c r="B46" s="24"/>
      <c r="C46" s="24"/>
      <c r="D46" s="24"/>
      <c r="E46" s="24"/>
      <c r="F46" s="25"/>
    </row>
    <row r="47" spans="1:16" s="24" customFormat="1" x14ac:dyDescent="0.2">
      <c r="F47" s="25"/>
      <c r="G47" s="25"/>
      <c r="H47" s="38"/>
      <c r="I47" s="43"/>
      <c r="J47" s="43"/>
      <c r="K47" s="43"/>
      <c r="L47" s="43"/>
      <c r="M47" s="43"/>
      <c r="N47" s="33"/>
      <c r="O47" s="25"/>
      <c r="P47" s="44"/>
    </row>
    <row r="48" spans="1:16" s="24" customFormat="1" x14ac:dyDescent="0.2">
      <c r="F48" s="25"/>
      <c r="G48" s="25"/>
      <c r="H48" s="38"/>
      <c r="I48" s="43"/>
      <c r="J48" s="43"/>
      <c r="K48" s="43"/>
      <c r="L48" s="43"/>
      <c r="M48" s="43"/>
      <c r="N48" s="33"/>
      <c r="O48" s="25"/>
      <c r="P48" s="44"/>
    </row>
    <row r="49" spans="1:16" s="24" customFormat="1" x14ac:dyDescent="0.2">
      <c r="A49" s="27"/>
      <c r="B49" s="34"/>
      <c r="C49" s="34"/>
      <c r="D49" s="34"/>
      <c r="E49" s="34"/>
      <c r="F49" s="34"/>
      <c r="G49" s="25"/>
      <c r="H49" s="38"/>
      <c r="I49" s="43"/>
      <c r="J49" s="43"/>
      <c r="K49" s="43"/>
      <c r="L49" s="43"/>
      <c r="M49" s="43"/>
      <c r="N49" s="33"/>
      <c r="O49" s="25"/>
      <c r="P49" s="44"/>
    </row>
    <row r="53" spans="1:16" x14ac:dyDescent="0.2">
      <c r="A53" s="21" t="s">
        <v>509</v>
      </c>
    </row>
    <row r="55" spans="1:16" x14ac:dyDescent="0.2">
      <c r="A55" s="24" t="s">
        <v>288</v>
      </c>
      <c r="B55" s="25"/>
      <c r="C55" s="25"/>
      <c r="D55" s="25"/>
      <c r="E55" s="25"/>
    </row>
    <row r="56" spans="1:16" x14ac:dyDescent="0.2">
      <c r="A56" s="24" t="s">
        <v>289</v>
      </c>
      <c r="B56" s="25"/>
      <c r="C56" s="93" t="s">
        <v>341</v>
      </c>
      <c r="D56" s="25"/>
      <c r="E56" s="25"/>
    </row>
    <row r="57" spans="1:16" x14ac:dyDescent="0.2">
      <c r="A57" s="24" t="s">
        <v>290</v>
      </c>
      <c r="B57" s="25"/>
      <c r="E57" s="25"/>
    </row>
    <row r="58" spans="1:16" x14ac:dyDescent="0.2">
      <c r="C58" s="94" t="s">
        <v>342</v>
      </c>
      <c r="D58" s="25"/>
    </row>
    <row r="59" spans="1:16" x14ac:dyDescent="0.2">
      <c r="A59" s="21" t="s">
        <v>291</v>
      </c>
      <c r="C59" s="95" t="s">
        <v>344</v>
      </c>
      <c r="E59" s="27"/>
    </row>
    <row r="60" spans="1:16" x14ac:dyDescent="0.2">
      <c r="C60" s="94" t="s">
        <v>343</v>
      </c>
      <c r="D60" s="27"/>
    </row>
    <row r="61" spans="1:16" x14ac:dyDescent="0.2">
      <c r="A61" s="21" t="s">
        <v>292</v>
      </c>
    </row>
    <row r="62" spans="1:16" x14ac:dyDescent="0.2">
      <c r="A62" s="21" t="s">
        <v>293</v>
      </c>
      <c r="C62" s="56" t="s">
        <v>295</v>
      </c>
    </row>
    <row r="63" spans="1:16" x14ac:dyDescent="0.2">
      <c r="C63" s="28" t="s">
        <v>296</v>
      </c>
      <c r="E63" s="57" t="s">
        <v>298</v>
      </c>
    </row>
    <row r="64" spans="1:16" x14ac:dyDescent="0.2">
      <c r="A64" s="58" t="s">
        <v>294</v>
      </c>
      <c r="C64" s="28" t="s">
        <v>297</v>
      </c>
      <c r="E64" s="57" t="s">
        <v>299</v>
      </c>
      <c r="H64" s="166"/>
    </row>
    <row r="71" spans="1:1" x14ac:dyDescent="0.2">
      <c r="A71" s="93"/>
    </row>
  </sheetData>
  <customSheetViews>
    <customSheetView guid="{BFD0A862-FF9D-4229-ADD0-2A37AEA5AF1F}" showGridLines="0" showRowCol="0" topLeftCell="C1">
      <selection activeCell="J13" sqref="J13"/>
      <pageMargins left="0.74803149606299213" right="0.74803149606299213" top="0.74803149606299213" bottom="0.74803149606299213" header="0.31496062992125984" footer="0.31496062992125984"/>
      <pageSetup paperSize="9" scale="80" orientation="portrait" horizontalDpi="360" verticalDpi="360" r:id="rId1"/>
      <headerFooter alignWithMargins="0">
        <oddHeader>&amp;L&amp;A&amp;RDomares</oddHeader>
        <oddFooter>&amp;LMichael Eschmann, Markus Markstaler&amp;RInstitut für Energiesysteme</oddFooter>
      </headerFooter>
    </customSheetView>
    <customSheetView guid="{11DD1BF8-C577-48F3-8516-9D608BF5BCA7}" showPageBreaks="1" showGridLines="0" showRowCol="0" printArea="1" hiddenColumns="1" topLeftCell="A25">
      <selection activeCell="A54" sqref="A54"/>
      <pageMargins left="0.74803149606299213" right="0.74803149606299213" top="0.74803149606299213" bottom="0.74803149606299213" header="0.31496062992125984" footer="0.31496062992125984"/>
      <pageSetup paperSize="9" scale="80" orientation="portrait" horizontalDpi="360" verticalDpi="360" r:id="rId2"/>
      <headerFooter alignWithMargins="0">
        <oddHeader>&amp;L&amp;A&amp;RDomares</oddHeader>
        <oddFooter>&amp;LMichael Eschmann, Markus Markstaler&amp;RInstitut für Energiesysteme</oddFooter>
      </headerFooter>
    </customSheetView>
  </customSheetViews>
  <phoneticPr fontId="0" type="noConversion"/>
  <hyperlinks>
    <hyperlink ref="A64" r:id="rId3"/>
    <hyperlink ref="E63" r:id="rId4"/>
    <hyperlink ref="E64" r:id="rId5"/>
  </hyperlinks>
  <pageMargins left="0.74803149606299213" right="0.74803149606299213" top="0.74803149606299213" bottom="0.74803149606299213" header="0.31496062992125984" footer="0.31496062992125984"/>
  <pageSetup paperSize="9" scale="80" orientation="portrait" horizontalDpi="360" verticalDpi="360" r:id="rId6"/>
  <headerFooter alignWithMargins="0">
    <oddHeader>&amp;L&amp;A&amp;RDomares</oddHeader>
    <oddFooter>&amp;LMichael Eschmann, Markus Markstaler&amp;RInstitut für Energiesysteme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D66"/>
  <sheetViews>
    <sheetView showGridLines="0" showRowColHeaders="0" zoomScaleNormal="100" workbookViewId="0">
      <selection activeCell="G26" sqref="G26"/>
    </sheetView>
  </sheetViews>
  <sheetFormatPr baseColWidth="10" defaultRowHeight="12.75" x14ac:dyDescent="0.2"/>
  <cols>
    <col min="1" max="1" width="31.140625" style="189" customWidth="1"/>
    <col min="2" max="2" width="11.42578125" style="204"/>
    <col min="3" max="3" width="14" style="189" customWidth="1"/>
    <col min="4" max="4" width="23.7109375" style="189" customWidth="1"/>
    <col min="5" max="5" width="11.42578125" style="204"/>
    <col min="6" max="12" width="18" style="190" customWidth="1"/>
    <col min="13" max="14" width="11.42578125" style="189"/>
    <col min="15" max="15" width="3" style="215" hidden="1" customWidth="1"/>
    <col min="16" max="16" width="4.5703125" style="215" hidden="1" customWidth="1"/>
    <col min="17" max="17" width="4" style="215" hidden="1" customWidth="1"/>
    <col min="18" max="18" width="4.5703125" style="215" hidden="1" customWidth="1"/>
    <col min="19" max="19" width="4" style="215" hidden="1" customWidth="1"/>
    <col min="20" max="16384" width="11.42578125" style="189"/>
  </cols>
  <sheetData>
    <row r="1" spans="1:30" s="198" customFormat="1" x14ac:dyDescent="0.2">
      <c r="A1" s="183" t="s">
        <v>467</v>
      </c>
      <c r="B1" s="211"/>
      <c r="C1" s="185"/>
      <c r="D1" s="185"/>
      <c r="E1" s="211"/>
      <c r="F1" s="197"/>
      <c r="G1" s="197"/>
      <c r="H1" s="197"/>
      <c r="I1" s="197"/>
      <c r="J1" s="197"/>
      <c r="K1" s="197"/>
      <c r="L1" s="197"/>
      <c r="M1" s="185"/>
      <c r="N1" s="185"/>
      <c r="O1" s="215"/>
      <c r="P1" s="215"/>
      <c r="Q1" s="215"/>
      <c r="R1" s="215"/>
      <c r="S1" s="215"/>
    </row>
    <row r="2" spans="1:30" x14ac:dyDescent="0.2">
      <c r="A2" s="199" t="s">
        <v>448</v>
      </c>
    </row>
    <row r="3" spans="1:30" x14ac:dyDescent="0.2">
      <c r="A3" s="199" t="s">
        <v>451</v>
      </c>
    </row>
    <row r="4" spans="1:30" x14ac:dyDescent="0.2">
      <c r="A4" s="199"/>
    </row>
    <row r="5" spans="1:30" x14ac:dyDescent="0.2">
      <c r="C5" s="190"/>
      <c r="D5" s="188" t="s">
        <v>3</v>
      </c>
      <c r="F5" s="189"/>
      <c r="M5" s="199"/>
      <c r="O5" s="215">
        <v>11</v>
      </c>
      <c r="P5" s="216">
        <v>0.1</v>
      </c>
      <c r="Q5" s="215">
        <v>280</v>
      </c>
      <c r="R5" s="216">
        <v>0.4</v>
      </c>
      <c r="S5" s="215">
        <v>175</v>
      </c>
      <c r="T5" s="111"/>
      <c r="V5" s="111"/>
      <c r="X5" s="111"/>
      <c r="Z5" s="111"/>
      <c r="AB5" s="111"/>
      <c r="AD5" s="111"/>
    </row>
    <row r="6" spans="1:30" ht="14.25" x14ac:dyDescent="0.2">
      <c r="C6" s="190"/>
      <c r="D6" s="189" t="s">
        <v>4</v>
      </c>
      <c r="E6" s="60">
        <f>INDEX(P5:P20,O5)</f>
        <v>0.2</v>
      </c>
      <c r="F6" s="189" t="s">
        <v>5</v>
      </c>
      <c r="M6" s="187"/>
      <c r="O6" s="215">
        <v>11</v>
      </c>
      <c r="P6" s="216">
        <v>0.11</v>
      </c>
      <c r="Q6" s="215">
        <v>240</v>
      </c>
      <c r="R6" s="216">
        <v>0.5</v>
      </c>
      <c r="S6" s="215">
        <v>150</v>
      </c>
    </row>
    <row r="7" spans="1:30" ht="14.25" x14ac:dyDescent="0.2">
      <c r="C7" s="190"/>
      <c r="D7" s="189" t="s">
        <v>6</v>
      </c>
      <c r="E7" s="200">
        <f>(Übersicht!B3*Übersicht!B4+0.3)*Übersicht!B5-E14-E18-E22-E25</f>
        <v>170.6</v>
      </c>
      <c r="F7" s="189" t="s">
        <v>1</v>
      </c>
      <c r="O7" s="215">
        <v>19</v>
      </c>
      <c r="P7" s="216">
        <v>0.12</v>
      </c>
      <c r="Q7" s="215">
        <v>220</v>
      </c>
      <c r="R7" s="216">
        <v>0.6</v>
      </c>
      <c r="S7" s="215">
        <v>130</v>
      </c>
    </row>
    <row r="8" spans="1:30" x14ac:dyDescent="0.2">
      <c r="C8" s="190"/>
      <c r="F8" s="189"/>
      <c r="O8" s="215">
        <v>14</v>
      </c>
      <c r="P8" s="216">
        <v>0.13</v>
      </c>
      <c r="Q8" s="215">
        <v>200</v>
      </c>
      <c r="R8" s="216">
        <v>0.7</v>
      </c>
      <c r="S8" s="215">
        <v>103</v>
      </c>
    </row>
    <row r="9" spans="1:30" ht="14.25" x14ac:dyDescent="0.2">
      <c r="C9" s="190"/>
      <c r="D9" s="189" t="s">
        <v>7</v>
      </c>
      <c r="E9" s="60">
        <f>INDEX(P5:P20,O6)</f>
        <v>0.2</v>
      </c>
      <c r="F9" s="189" t="s">
        <v>5</v>
      </c>
      <c r="O9" s="215">
        <v>10</v>
      </c>
      <c r="P9" s="216">
        <v>0.14000000000000001</v>
      </c>
      <c r="Q9" s="215">
        <v>190</v>
      </c>
      <c r="R9" s="216">
        <v>0.8</v>
      </c>
      <c r="S9" s="215">
        <v>89</v>
      </c>
    </row>
    <row r="10" spans="1:30" ht="14.25" x14ac:dyDescent="0.2">
      <c r="C10" s="190"/>
      <c r="D10" s="189" t="s">
        <v>8</v>
      </c>
      <c r="E10" s="200">
        <f>Übersicht!B6/Übersicht!B5</f>
        <v>75</v>
      </c>
      <c r="F10" s="189" t="s">
        <v>1</v>
      </c>
      <c r="O10" s="215">
        <v>1</v>
      </c>
      <c r="P10" s="216">
        <v>0.15</v>
      </c>
      <c r="Q10" s="215">
        <v>185</v>
      </c>
      <c r="R10" s="216">
        <v>0.9</v>
      </c>
      <c r="S10" s="215">
        <v>80</v>
      </c>
    </row>
    <row r="11" spans="1:30" x14ac:dyDescent="0.2">
      <c r="C11" s="190"/>
      <c r="F11" s="189"/>
      <c r="O11" s="215">
        <v>13</v>
      </c>
      <c r="P11" s="216">
        <v>0.16</v>
      </c>
      <c r="Q11" s="215">
        <v>180</v>
      </c>
      <c r="R11" s="216">
        <v>1</v>
      </c>
      <c r="S11" s="215">
        <v>60</v>
      </c>
    </row>
    <row r="12" spans="1:30" ht="14.25" x14ac:dyDescent="0.2">
      <c r="C12" s="190"/>
      <c r="D12" s="189" t="s">
        <v>338</v>
      </c>
      <c r="E12" s="111">
        <f>E20</f>
        <v>1.3</v>
      </c>
      <c r="F12" s="189" t="s">
        <v>5</v>
      </c>
      <c r="O12" s="215">
        <v>7</v>
      </c>
      <c r="P12" s="216">
        <v>0.17</v>
      </c>
      <c r="Q12" s="215">
        <v>175</v>
      </c>
      <c r="R12" s="216">
        <v>1.1000000000000001</v>
      </c>
      <c r="S12" s="215">
        <v>55</v>
      </c>
    </row>
    <row r="13" spans="1:30" x14ac:dyDescent="0.2">
      <c r="A13" s="188" t="s">
        <v>14</v>
      </c>
      <c r="C13" s="190"/>
      <c r="D13" s="189" t="s">
        <v>11</v>
      </c>
      <c r="E13" s="111">
        <f>E21</f>
        <v>0.55000000000000004</v>
      </c>
      <c r="F13" s="189"/>
      <c r="P13" s="216">
        <v>0.18</v>
      </c>
      <c r="Q13" s="215">
        <v>170</v>
      </c>
      <c r="R13" s="216">
        <v>1.2</v>
      </c>
      <c r="S13" s="215">
        <v>50</v>
      </c>
    </row>
    <row r="14" spans="1:30" ht="14.25" x14ac:dyDescent="0.2">
      <c r="A14" s="189" t="s">
        <v>4</v>
      </c>
      <c r="B14" s="60">
        <f>INDEX(P5:P23,O7)</f>
        <v>0.28000000000000003</v>
      </c>
      <c r="C14" s="190" t="s">
        <v>5</v>
      </c>
      <c r="D14" s="189" t="s">
        <v>10</v>
      </c>
      <c r="E14" s="88">
        <v>2</v>
      </c>
      <c r="F14" s="189" t="s">
        <v>1</v>
      </c>
      <c r="P14" s="216">
        <v>0.19</v>
      </c>
      <c r="Q14" s="215">
        <v>165</v>
      </c>
      <c r="R14" s="216">
        <v>1.3</v>
      </c>
      <c r="S14" s="215">
        <v>45</v>
      </c>
    </row>
    <row r="15" spans="1:30" ht="14.25" x14ac:dyDescent="0.2">
      <c r="A15" s="189" t="s">
        <v>6</v>
      </c>
      <c r="B15" s="88">
        <v>7</v>
      </c>
      <c r="C15" s="190" t="s">
        <v>1</v>
      </c>
      <c r="F15" s="189"/>
      <c r="P15" s="216">
        <v>0.2</v>
      </c>
      <c r="Q15" s="215">
        <v>160</v>
      </c>
      <c r="R15" s="216">
        <v>1.4</v>
      </c>
      <c r="S15" s="215">
        <v>40</v>
      </c>
    </row>
    <row r="16" spans="1:30" ht="14.25" x14ac:dyDescent="0.2">
      <c r="C16" s="190"/>
      <c r="D16" s="189" t="s">
        <v>337</v>
      </c>
      <c r="E16" s="111">
        <f>E20</f>
        <v>1.3</v>
      </c>
      <c r="F16" s="189" t="s">
        <v>5</v>
      </c>
      <c r="P16" s="216">
        <v>0.21</v>
      </c>
      <c r="Q16" s="215">
        <v>158</v>
      </c>
      <c r="R16" s="216">
        <v>1.5</v>
      </c>
      <c r="S16" s="215">
        <v>38</v>
      </c>
    </row>
    <row r="17" spans="1:19" ht="14.25" x14ac:dyDescent="0.2">
      <c r="A17" s="189" t="s">
        <v>15</v>
      </c>
      <c r="B17" s="60">
        <f>INDEX(P10:P23,O8)</f>
        <v>0.28000000000000003</v>
      </c>
      <c r="C17" s="190" t="s">
        <v>5</v>
      </c>
      <c r="D17" s="189" t="s">
        <v>11</v>
      </c>
      <c r="E17" s="111">
        <f>E21</f>
        <v>0.55000000000000004</v>
      </c>
      <c r="F17" s="189"/>
      <c r="P17" s="216">
        <v>0.22</v>
      </c>
      <c r="Q17" s="215">
        <v>156</v>
      </c>
      <c r="R17" s="216">
        <v>1.6</v>
      </c>
      <c r="S17" s="215">
        <v>36</v>
      </c>
    </row>
    <row r="18" spans="1:19" ht="14.25" x14ac:dyDescent="0.2">
      <c r="A18" s="189" t="s">
        <v>16</v>
      </c>
      <c r="B18" s="200">
        <f>Übersicht!B6/Übersicht!B5</f>
        <v>75</v>
      </c>
      <c r="C18" s="190" t="s">
        <v>1</v>
      </c>
      <c r="D18" s="189" t="s">
        <v>10</v>
      </c>
      <c r="E18" s="88">
        <v>7</v>
      </c>
      <c r="F18" s="189" t="s">
        <v>1</v>
      </c>
      <c r="P18" s="216">
        <v>0.23</v>
      </c>
      <c r="Q18" s="215">
        <v>154</v>
      </c>
      <c r="R18" s="216">
        <v>1.7</v>
      </c>
      <c r="S18" s="215">
        <v>35</v>
      </c>
    </row>
    <row r="19" spans="1:19" x14ac:dyDescent="0.2">
      <c r="C19" s="190"/>
      <c r="F19" s="189"/>
      <c r="P19" s="216">
        <v>0.24</v>
      </c>
      <c r="Q19" s="215">
        <v>152</v>
      </c>
      <c r="R19" s="216">
        <v>1.8</v>
      </c>
    </row>
    <row r="20" spans="1:19" ht="14.25" x14ac:dyDescent="0.2">
      <c r="A20" s="189" t="s">
        <v>9</v>
      </c>
      <c r="B20" s="60">
        <f>INDEX(R8:R21,O11)</f>
        <v>1.9</v>
      </c>
      <c r="C20" s="190" t="s">
        <v>5</v>
      </c>
      <c r="D20" s="189" t="s">
        <v>339</v>
      </c>
      <c r="E20" s="60">
        <f>INDEX(R5:R16,O9)</f>
        <v>1.3</v>
      </c>
      <c r="F20" s="189" t="s">
        <v>5</v>
      </c>
      <c r="P20" s="216">
        <v>0.25</v>
      </c>
      <c r="Q20" s="215">
        <v>150</v>
      </c>
      <c r="R20" s="216">
        <v>1.9</v>
      </c>
    </row>
    <row r="21" spans="1:19" x14ac:dyDescent="0.2">
      <c r="A21" s="189" t="s">
        <v>11</v>
      </c>
      <c r="B21" s="89">
        <v>0.55000000000000004</v>
      </c>
      <c r="C21" s="190"/>
      <c r="D21" s="189" t="s">
        <v>11</v>
      </c>
      <c r="E21" s="89">
        <v>0.55000000000000004</v>
      </c>
      <c r="F21" s="189"/>
      <c r="P21" s="216">
        <v>0.26</v>
      </c>
      <c r="Q21" s="215">
        <v>148</v>
      </c>
      <c r="R21" s="216">
        <v>2</v>
      </c>
    </row>
    <row r="22" spans="1:19" ht="14.25" x14ac:dyDescent="0.2">
      <c r="A22" s="189" t="s">
        <v>10</v>
      </c>
      <c r="B22" s="88">
        <v>0</v>
      </c>
      <c r="C22" s="190" t="s">
        <v>1</v>
      </c>
      <c r="D22" s="189" t="s">
        <v>10</v>
      </c>
      <c r="E22" s="88">
        <v>10</v>
      </c>
      <c r="F22" s="189" t="s">
        <v>1</v>
      </c>
      <c r="P22" s="216">
        <v>0.27</v>
      </c>
      <c r="Q22" s="215">
        <v>146</v>
      </c>
    </row>
    <row r="23" spans="1:19" x14ac:dyDescent="0.2">
      <c r="C23" s="190"/>
      <c r="F23" s="189"/>
      <c r="P23" s="216">
        <v>0.28000000000000003</v>
      </c>
      <c r="Q23" s="215">
        <v>144</v>
      </c>
    </row>
    <row r="24" spans="1:19" ht="14.25" x14ac:dyDescent="0.2">
      <c r="A24" s="189" t="s">
        <v>12</v>
      </c>
      <c r="B24" s="60">
        <f>INDEX(R11:R21,O12)</f>
        <v>1.6</v>
      </c>
      <c r="C24" s="190" t="s">
        <v>5</v>
      </c>
      <c r="D24" s="189" t="s">
        <v>12</v>
      </c>
      <c r="E24" s="60">
        <f>INDEX(R11:R21,O10)</f>
        <v>1</v>
      </c>
      <c r="F24" s="189" t="s">
        <v>5</v>
      </c>
    </row>
    <row r="25" spans="1:19" ht="14.25" x14ac:dyDescent="0.2">
      <c r="A25" s="189" t="s">
        <v>13</v>
      </c>
      <c r="B25" s="88">
        <v>0</v>
      </c>
      <c r="C25" s="190" t="s">
        <v>1</v>
      </c>
      <c r="D25" s="189" t="s">
        <v>13</v>
      </c>
      <c r="E25" s="88">
        <v>3</v>
      </c>
      <c r="F25" s="189" t="s">
        <v>1</v>
      </c>
    </row>
    <row r="60" spans="1:19" s="202" customFormat="1" hidden="1" x14ac:dyDescent="0.2">
      <c r="A60" s="201" t="s">
        <v>177</v>
      </c>
      <c r="B60" s="212">
        <f>SUM(B64:B66)-SUM(B64:B66)</f>
        <v>0</v>
      </c>
      <c r="C60" s="201" t="s">
        <v>181</v>
      </c>
      <c r="E60" s="213"/>
      <c r="F60" s="203"/>
      <c r="G60" s="203"/>
      <c r="H60" s="203"/>
      <c r="I60" s="203"/>
      <c r="J60" s="203"/>
      <c r="K60" s="203"/>
      <c r="L60" s="203"/>
      <c r="O60" s="213"/>
      <c r="P60" s="213"/>
      <c r="Q60" s="213"/>
      <c r="R60" s="213"/>
      <c r="S60" s="213"/>
    </row>
    <row r="61" spans="1:19" s="202" customFormat="1" ht="14.25" hidden="1" x14ac:dyDescent="0.2">
      <c r="A61" s="202" t="s">
        <v>178</v>
      </c>
      <c r="B61" s="213">
        <f>INDEX(Q5:Q20,O5)</f>
        <v>160</v>
      </c>
      <c r="C61" s="202" t="s">
        <v>340</v>
      </c>
      <c r="E61" s="213"/>
      <c r="F61" s="203"/>
      <c r="G61" s="203"/>
      <c r="H61" s="203"/>
      <c r="I61" s="203"/>
      <c r="J61" s="203"/>
      <c r="K61" s="203"/>
      <c r="L61" s="203"/>
      <c r="O61" s="213"/>
      <c r="P61" s="213"/>
      <c r="Q61" s="213"/>
      <c r="R61" s="213"/>
      <c r="S61" s="213"/>
    </row>
    <row r="62" spans="1:19" s="202" customFormat="1" ht="14.25" hidden="1" x14ac:dyDescent="0.2">
      <c r="A62" s="202" t="s">
        <v>179</v>
      </c>
      <c r="B62" s="213">
        <f>INDEX(S5:S18,O9)</f>
        <v>45</v>
      </c>
      <c r="C62" s="202" t="s">
        <v>340</v>
      </c>
      <c r="E62" s="213"/>
      <c r="F62" s="203"/>
      <c r="G62" s="203"/>
      <c r="H62" s="203"/>
      <c r="I62" s="203"/>
      <c r="J62" s="203"/>
      <c r="K62" s="203"/>
      <c r="L62" s="203"/>
      <c r="O62" s="213"/>
      <c r="P62" s="213"/>
      <c r="Q62" s="213"/>
      <c r="R62" s="213"/>
      <c r="S62" s="213"/>
    </row>
    <row r="63" spans="1:19" s="202" customFormat="1" hidden="1" x14ac:dyDescent="0.2">
      <c r="B63" s="213"/>
      <c r="E63" s="213"/>
      <c r="F63" s="203"/>
      <c r="G63" s="203"/>
      <c r="H63" s="203"/>
      <c r="I63" s="203"/>
      <c r="J63" s="203"/>
      <c r="K63" s="203"/>
      <c r="L63" s="203"/>
      <c r="O63" s="213"/>
      <c r="P63" s="213"/>
      <c r="Q63" s="213"/>
      <c r="R63" s="213"/>
      <c r="S63" s="213"/>
    </row>
    <row r="64" spans="1:19" s="202" customFormat="1" hidden="1" x14ac:dyDescent="0.2">
      <c r="A64" s="202" t="s">
        <v>180</v>
      </c>
      <c r="B64" s="214">
        <f>B61*(E7+B15)</f>
        <v>28416</v>
      </c>
      <c r="C64" s="202" t="s">
        <v>181</v>
      </c>
      <c r="E64" s="213"/>
      <c r="F64" s="203"/>
      <c r="G64" s="203"/>
      <c r="H64" s="203"/>
      <c r="I64" s="203"/>
      <c r="J64" s="203"/>
      <c r="K64" s="203"/>
      <c r="L64" s="203"/>
      <c r="O64" s="213"/>
      <c r="P64" s="213"/>
      <c r="Q64" s="213"/>
      <c r="R64" s="213"/>
      <c r="S64" s="213"/>
    </row>
    <row r="65" spans="1:19" s="202" customFormat="1" hidden="1" x14ac:dyDescent="0.2">
      <c r="A65" s="202" t="s">
        <v>182</v>
      </c>
      <c r="B65" s="214">
        <f>INDEX(Q5:Q23,O6)*E10+INDEX(Q10:Q23,O8)*B18</f>
        <v>22800</v>
      </c>
      <c r="C65" s="202" t="s">
        <v>181</v>
      </c>
      <c r="E65" s="213"/>
      <c r="F65" s="203"/>
      <c r="G65" s="203"/>
      <c r="H65" s="203"/>
      <c r="I65" s="203"/>
      <c r="J65" s="203"/>
      <c r="K65" s="203"/>
      <c r="L65" s="203"/>
      <c r="O65" s="213"/>
      <c r="P65" s="213"/>
      <c r="Q65" s="213"/>
      <c r="R65" s="213"/>
      <c r="S65" s="213"/>
    </row>
    <row r="66" spans="1:19" s="202" customFormat="1" hidden="1" x14ac:dyDescent="0.2">
      <c r="A66" s="202" t="s">
        <v>179</v>
      </c>
      <c r="B66" s="214">
        <f>B62*(E14+E18+E22+B22)</f>
        <v>855</v>
      </c>
      <c r="C66" s="202" t="s">
        <v>181</v>
      </c>
      <c r="E66" s="213"/>
      <c r="F66" s="203"/>
      <c r="G66" s="203"/>
      <c r="H66" s="203"/>
      <c r="I66" s="203"/>
      <c r="J66" s="203"/>
      <c r="K66" s="203"/>
      <c r="L66" s="203"/>
      <c r="O66" s="213"/>
      <c r="P66" s="213"/>
      <c r="Q66" s="213"/>
      <c r="R66" s="213"/>
      <c r="S66" s="213"/>
    </row>
  </sheetData>
  <customSheetViews>
    <customSheetView guid="{BFD0A862-FF9D-4229-ADD0-2A37AEA5AF1F}" showGridLines="0" showRowCol="0" hiddenColumns="1">
      <selection activeCell="D21" sqref="D21"/>
      <pageMargins left="0.74803149606299213" right="0.74803149606299213" top="0.74803149606299213" bottom="0.74803149606299213" header="0.31496062992125984" footer="0.31496062992125984"/>
      <pageSetup paperSize="9" scale="80" fitToWidth="0" orientation="portrait" horizontalDpi="360" verticalDpi="360" r:id="rId1"/>
      <headerFooter alignWithMargins="0">
        <oddHeader>&amp;L&amp;A&amp;RDomares</oddHeader>
        <oddFooter>&amp;LMichael Eschmann, Markus Markstaler&amp;RInstitut für Energiesysteme</oddFooter>
      </headerFooter>
    </customSheetView>
    <customSheetView guid="{11DD1BF8-C577-48F3-8516-9D608BF5BCA7}" showPageBreaks="1" showGridLines="0" showRowCol="0" printArea="1" hiddenRows="1" hiddenColumns="1">
      <selection activeCell="G26" sqref="G26"/>
      <pageMargins left="0.74803149606299213" right="0.74803149606299213" top="0.74803149606299213" bottom="0.74803149606299213" header="0.31496062992125984" footer="0.31496062992125984"/>
      <pageSetup paperSize="9" scale="80" fitToWidth="0" orientation="portrait" horizontalDpi="360" verticalDpi="360" r:id="rId2"/>
      <headerFooter alignWithMargins="0">
        <oddHeader>&amp;L&amp;A&amp;RDomares</oddHeader>
        <oddFooter>&amp;LMichael Eschmann, Markus Markstaler&amp;RInstitut für Energiesysteme</oddFooter>
      </headerFooter>
    </customSheetView>
  </customSheetViews>
  <phoneticPr fontId="0" type="noConversion"/>
  <pageMargins left="0.74803149606299213" right="0.74803149606299213" top="0.74803149606299213" bottom="0.74803149606299213" header="0.31496062992125984" footer="0.31496062992125984"/>
  <pageSetup paperSize="9" scale="80" fitToWidth="0" orientation="portrait" horizontalDpi="360" verticalDpi="360" r:id="rId3"/>
  <headerFooter alignWithMargins="0">
    <oddHeader>&amp;L&amp;A&amp;RDomares</oddHeader>
    <oddFooter>&amp;LMichael Eschmann, Markus Markstaler&amp;RInstitut für Energiesysteme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Drop Down 1">
              <controlPr locked="0" defaultSize="0" autoLine="0" autoPict="0">
                <anchor moveWithCells="1">
                  <from>
                    <xdr:col>3</xdr:col>
                    <xdr:colOff>2066925</xdr:colOff>
                    <xdr:row>4</xdr:row>
                    <xdr:rowOff>142875</xdr:rowOff>
                  </from>
                  <to>
                    <xdr:col>5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Drop Down 2">
              <controlPr locked="0" defaultSize="0" autoLine="0" autoPict="0">
                <anchor moveWithCells="1">
                  <from>
                    <xdr:col>4</xdr:col>
                    <xdr:colOff>9525</xdr:colOff>
                    <xdr:row>8</xdr:row>
                    <xdr:rowOff>0</xdr:rowOff>
                  </from>
                  <to>
                    <xdr:col>5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Drop Down 3">
              <controlPr locked="0" defaultSize="0" autoLine="0" autoPict="0">
                <anchor moveWithCells="1">
                  <from>
                    <xdr:col>1</xdr:col>
                    <xdr:colOff>0</xdr:colOff>
                    <xdr:row>15</xdr:row>
                    <xdr:rowOff>142875</xdr:rowOff>
                  </from>
                  <to>
                    <xdr:col>2</xdr:col>
                    <xdr:colOff>9525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Drop Down 4">
              <controlPr locked="0" defaultSize="0" autoLine="0" autoPict="0">
                <anchor moveWithCells="1">
                  <from>
                    <xdr:col>4</xdr:col>
                    <xdr:colOff>0</xdr:colOff>
                    <xdr:row>18</xdr:row>
                    <xdr:rowOff>142875</xdr:rowOff>
                  </from>
                  <to>
                    <xdr:col>4</xdr:col>
                    <xdr:colOff>752475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Drop Down 5">
              <controlPr locked="0" defaultSize="0" autoLine="0" autoPict="0">
                <anchor moveWithCells="1">
                  <from>
                    <xdr:col>0</xdr:col>
                    <xdr:colOff>1562100</xdr:colOff>
                    <xdr:row>12</xdr:row>
                    <xdr:rowOff>142875</xdr:rowOff>
                  </from>
                  <to>
                    <xdr:col>1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Drop Down 6">
              <controlPr defaultSize="0" autoLine="0" autoPict="0">
                <anchor moveWithCells="1">
                  <from>
                    <xdr:col>3</xdr:col>
                    <xdr:colOff>2066925</xdr:colOff>
                    <xdr:row>22</xdr:row>
                    <xdr:rowOff>133350</xdr:rowOff>
                  </from>
                  <to>
                    <xdr:col>5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Drop Down 7">
              <controlPr locked="0" defaultSize="0" autoLine="0" autoPict="0">
                <anchor moveWithCells="1">
                  <from>
                    <xdr:col>0</xdr:col>
                    <xdr:colOff>1552575</xdr:colOff>
                    <xdr:row>18</xdr:row>
                    <xdr:rowOff>133350</xdr:rowOff>
                  </from>
                  <to>
                    <xdr:col>1</xdr:col>
                    <xdr:colOff>257175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Drop Down 8">
              <controlPr locked="0" defaultSize="0" autoLine="0" autoPict="0">
                <anchor moveWithCells="1">
                  <from>
                    <xdr:col>0</xdr:col>
                    <xdr:colOff>1571625</xdr:colOff>
                    <xdr:row>22</xdr:row>
                    <xdr:rowOff>133350</xdr:rowOff>
                  </from>
                  <to>
                    <xdr:col>1</xdr:col>
                    <xdr:colOff>266700</xdr:colOff>
                    <xdr:row>23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59"/>
  <sheetViews>
    <sheetView showGridLines="0" showRowColHeaders="0" zoomScaleNormal="100" workbookViewId="0">
      <selection activeCell="F1" sqref="F1:J65536"/>
    </sheetView>
  </sheetViews>
  <sheetFormatPr baseColWidth="10" defaultRowHeight="12.75" x14ac:dyDescent="0.2"/>
  <cols>
    <col min="1" max="1" width="36.140625" style="189" customWidth="1"/>
    <col min="2" max="2" width="12" style="192" bestFit="1" customWidth="1"/>
    <col min="3" max="3" width="10" style="189" customWidth="1"/>
    <col min="4" max="4" width="3.85546875" style="189" customWidth="1"/>
    <col min="5" max="5" width="58.28515625" style="186" bestFit="1" customWidth="1"/>
    <col min="6" max="6" width="6.85546875" style="228" hidden="1" customWidth="1"/>
    <col min="7" max="7" width="9.140625" style="229" hidden="1" customWidth="1"/>
    <col min="8" max="8" width="2.42578125" style="189" hidden="1" customWidth="1"/>
    <col min="9" max="10" width="11.42578125" style="189" hidden="1" customWidth="1"/>
    <col min="11" max="16384" width="11.42578125" style="189"/>
  </cols>
  <sheetData>
    <row r="1" spans="1:10" s="187" customFormat="1" x14ac:dyDescent="0.2">
      <c r="A1" s="183" t="s">
        <v>274</v>
      </c>
      <c r="B1" s="184"/>
      <c r="C1" s="185"/>
      <c r="D1" s="185"/>
      <c r="E1" s="186"/>
      <c r="F1" s="228"/>
      <c r="G1" s="229"/>
      <c r="I1" s="187" t="s">
        <v>508</v>
      </c>
    </row>
    <row r="2" spans="1:10" x14ac:dyDescent="0.2">
      <c r="F2" s="230" t="s">
        <v>181</v>
      </c>
      <c r="G2" s="231" t="s">
        <v>474</v>
      </c>
      <c r="I2" s="230" t="s">
        <v>181</v>
      </c>
      <c r="J2" s="231" t="s">
        <v>474</v>
      </c>
    </row>
    <row r="3" spans="1:10" x14ac:dyDescent="0.2">
      <c r="A3" s="188" t="s">
        <v>58</v>
      </c>
      <c r="B3" s="218">
        <f>INDEX(F3:G3,Ortsdaten!$H$2+1)</f>
        <v>0.17</v>
      </c>
      <c r="C3" s="187" t="str">
        <f>Ortsdaten!G7</f>
        <v>Fr. / kWh</v>
      </c>
      <c r="F3" s="219">
        <v>0.17</v>
      </c>
      <c r="G3" s="232">
        <f>F3/1.1</f>
        <v>0.15454545454545454</v>
      </c>
      <c r="I3" s="219">
        <v>0.17</v>
      </c>
      <c r="J3" s="232">
        <v>0.10967741935483871</v>
      </c>
    </row>
    <row r="4" spans="1:10" x14ac:dyDescent="0.2">
      <c r="G4" s="233"/>
      <c r="I4" s="228"/>
      <c r="J4" s="233"/>
    </row>
    <row r="5" spans="1:10" x14ac:dyDescent="0.2">
      <c r="A5" s="188" t="s">
        <v>460</v>
      </c>
      <c r="B5" s="191">
        <f>SUM(B8:B11)+B6</f>
        <v>28926.520889285712</v>
      </c>
      <c r="C5" s="187" t="str">
        <f>Ortsdaten!$G$12</f>
        <v>Fr.</v>
      </c>
      <c r="F5" s="230"/>
      <c r="G5" s="233"/>
      <c r="I5" s="230"/>
      <c r="J5" s="233"/>
    </row>
    <row r="6" spans="1:10" x14ac:dyDescent="0.2">
      <c r="A6" s="187" t="s">
        <v>90</v>
      </c>
      <c r="B6" s="192">
        <f>B7*(Parameter!B13+Parameter!B14)</f>
        <v>7826.5208892857127</v>
      </c>
      <c r="C6" s="187" t="str">
        <f>Ortsdaten!$G$12</f>
        <v>Fr.</v>
      </c>
      <c r="E6" s="186" t="s">
        <v>157</v>
      </c>
      <c r="G6" s="233"/>
      <c r="I6" s="228"/>
      <c r="J6" s="233"/>
    </row>
    <row r="7" spans="1:10" x14ac:dyDescent="0.2">
      <c r="A7" s="187" t="s">
        <v>91</v>
      </c>
      <c r="B7" s="218">
        <f>INDEX(F7:G7,Ortsdaten!$H$2+1)</f>
        <v>75</v>
      </c>
      <c r="C7" s="187" t="str">
        <f>Ortsdaten!G13</f>
        <v>Fr. / m</v>
      </c>
      <c r="E7" s="186" t="s">
        <v>142</v>
      </c>
      <c r="F7" s="236">
        <v>75</v>
      </c>
      <c r="G7" s="232">
        <f t="shared" ref="G7:G11" si="0">F7/1.1</f>
        <v>68.181818181818173</v>
      </c>
      <c r="I7" s="220">
        <v>110</v>
      </c>
      <c r="J7" s="232">
        <v>70.967741935483872</v>
      </c>
    </row>
    <row r="8" spans="1:10" x14ac:dyDescent="0.2">
      <c r="A8" s="189" t="s">
        <v>51</v>
      </c>
      <c r="B8" s="218">
        <f>INDEX(F8:G8,Ortsdaten!$H$2+1)</f>
        <v>11000</v>
      </c>
      <c r="C8" s="187" t="str">
        <f>Ortsdaten!$G$12</f>
        <v>Fr.</v>
      </c>
      <c r="E8" s="186" t="s">
        <v>143</v>
      </c>
      <c r="F8" s="236">
        <v>11000</v>
      </c>
      <c r="G8" s="232">
        <f t="shared" si="0"/>
        <v>10000</v>
      </c>
      <c r="I8" s="220">
        <v>10000</v>
      </c>
      <c r="J8" s="232">
        <v>6451.6129032258059</v>
      </c>
    </row>
    <row r="9" spans="1:10" x14ac:dyDescent="0.2">
      <c r="A9" s="189" t="s">
        <v>53</v>
      </c>
      <c r="B9" s="218">
        <f>INDEX(F9:G9,Ortsdaten!$H$2+1)</f>
        <v>3000</v>
      </c>
      <c r="C9" s="187" t="str">
        <f>Ortsdaten!$G$12</f>
        <v>Fr.</v>
      </c>
      <c r="E9" s="186" t="s">
        <v>144</v>
      </c>
      <c r="F9" s="236">
        <v>3000</v>
      </c>
      <c r="G9" s="232">
        <f t="shared" si="0"/>
        <v>2727.272727272727</v>
      </c>
      <c r="I9" s="220">
        <v>5200</v>
      </c>
      <c r="J9" s="232">
        <v>3354.838709677419</v>
      </c>
    </row>
    <row r="10" spans="1:10" x14ac:dyDescent="0.2">
      <c r="A10" s="187" t="s">
        <v>82</v>
      </c>
      <c r="B10" s="218">
        <f>INDEX(F10:G10,Ortsdaten!$H$2+1)</f>
        <v>4600</v>
      </c>
      <c r="C10" s="187" t="str">
        <f>Ortsdaten!$G$12</f>
        <v>Fr.</v>
      </c>
      <c r="F10" s="220">
        <v>4600</v>
      </c>
      <c r="G10" s="232">
        <f t="shared" si="0"/>
        <v>4181.8181818181811</v>
      </c>
      <c r="I10" s="220">
        <v>4600</v>
      </c>
      <c r="J10" s="232">
        <v>2967.7419354838707</v>
      </c>
    </row>
    <row r="11" spans="1:10" x14ac:dyDescent="0.2">
      <c r="A11" s="187" t="s">
        <v>175</v>
      </c>
      <c r="B11" s="218">
        <f>INDEX(F11:G11,Ortsdaten!$H$2+1)</f>
        <v>2500</v>
      </c>
      <c r="C11" s="187" t="str">
        <f>Ortsdaten!$G$12</f>
        <v>Fr.</v>
      </c>
      <c r="F11" s="220">
        <v>2500</v>
      </c>
      <c r="G11" s="232">
        <f t="shared" si="0"/>
        <v>2272.7272727272725</v>
      </c>
      <c r="I11" s="220">
        <v>2500</v>
      </c>
      <c r="J11" s="232">
        <v>1612.9032258064515</v>
      </c>
    </row>
    <row r="12" spans="1:10" x14ac:dyDescent="0.2">
      <c r="A12" s="207" t="s">
        <v>176</v>
      </c>
      <c r="B12" s="208"/>
      <c r="C12" s="187" t="str">
        <f>Ortsdaten!$G$12</f>
        <v>Fr.</v>
      </c>
      <c r="F12" s="229"/>
      <c r="G12" s="233"/>
      <c r="I12" s="229"/>
      <c r="J12" s="233"/>
    </row>
    <row r="13" spans="1:10" x14ac:dyDescent="0.2">
      <c r="A13" s="187"/>
      <c r="B13" s="187"/>
      <c r="C13" s="187"/>
      <c r="F13" s="229"/>
      <c r="G13" s="233"/>
      <c r="I13" s="229"/>
      <c r="J13" s="233"/>
    </row>
    <row r="14" spans="1:10" x14ac:dyDescent="0.2">
      <c r="A14" s="188" t="s">
        <v>461</v>
      </c>
      <c r="B14" s="193">
        <f>SUM(B15:B17)</f>
        <v>21100</v>
      </c>
      <c r="C14" s="187" t="str">
        <f>Ortsdaten!$G$12</f>
        <v>Fr.</v>
      </c>
      <c r="F14" s="230"/>
      <c r="G14" s="233"/>
      <c r="I14" s="230"/>
      <c r="J14" s="233"/>
    </row>
    <row r="15" spans="1:10" x14ac:dyDescent="0.2">
      <c r="A15" s="187" t="s">
        <v>51</v>
      </c>
      <c r="B15" s="218">
        <f>INDEX(F15:G15,Ortsdaten!$H$2+1)</f>
        <v>14000</v>
      </c>
      <c r="C15" s="187" t="str">
        <f>Ortsdaten!$G$12</f>
        <v>Fr.</v>
      </c>
      <c r="F15" s="220">
        <v>14000</v>
      </c>
      <c r="G15" s="232">
        <f t="shared" ref="G15:G17" si="1">F15/1.1</f>
        <v>12727.272727272726</v>
      </c>
      <c r="I15" s="220">
        <v>14000</v>
      </c>
      <c r="J15" s="232">
        <v>9032.2580645161288</v>
      </c>
    </row>
    <row r="16" spans="1:10" x14ac:dyDescent="0.2">
      <c r="A16" s="187" t="s">
        <v>82</v>
      </c>
      <c r="B16" s="218">
        <f>INDEX(F16:G16,Ortsdaten!$H$2+1)</f>
        <v>4600</v>
      </c>
      <c r="C16" s="187" t="str">
        <f>Ortsdaten!$G$12</f>
        <v>Fr.</v>
      </c>
      <c r="F16" s="220">
        <v>4600</v>
      </c>
      <c r="G16" s="232">
        <f t="shared" si="1"/>
        <v>4181.8181818181811</v>
      </c>
      <c r="I16" s="220">
        <v>4600</v>
      </c>
      <c r="J16" s="232">
        <v>2967.7419354838707</v>
      </c>
    </row>
    <row r="17" spans="1:10" x14ac:dyDescent="0.2">
      <c r="A17" s="187" t="s">
        <v>175</v>
      </c>
      <c r="B17" s="218">
        <f>INDEX(F17:G17,Ortsdaten!$H$2+1)</f>
        <v>2500</v>
      </c>
      <c r="C17" s="187" t="str">
        <f>Ortsdaten!$G$12</f>
        <v>Fr.</v>
      </c>
      <c r="F17" s="220">
        <v>2500</v>
      </c>
      <c r="G17" s="232">
        <f t="shared" si="1"/>
        <v>2272.7272727272725</v>
      </c>
      <c r="I17" s="220">
        <v>2500</v>
      </c>
      <c r="J17" s="232">
        <v>1612.9032258064515</v>
      </c>
    </row>
    <row r="18" spans="1:10" x14ac:dyDescent="0.2">
      <c r="A18" s="207" t="s">
        <v>176</v>
      </c>
      <c r="B18" s="208"/>
      <c r="C18" s="187" t="str">
        <f>Ortsdaten!$G$12</f>
        <v>Fr.</v>
      </c>
      <c r="F18" s="230"/>
      <c r="G18" s="233"/>
      <c r="I18" s="230"/>
      <c r="J18" s="233"/>
    </row>
    <row r="19" spans="1:10" x14ac:dyDescent="0.2">
      <c r="A19" s="188" t="s">
        <v>78</v>
      </c>
      <c r="B19" s="191">
        <f>SUM(B20:B21)</f>
        <v>1</v>
      </c>
      <c r="C19" s="187" t="str">
        <f>Ortsdaten!$G$12</f>
        <v>Fr.</v>
      </c>
      <c r="F19" s="230"/>
      <c r="G19" s="233"/>
      <c r="I19" s="230"/>
      <c r="J19" s="233"/>
    </row>
    <row r="20" spans="1:10" x14ac:dyDescent="0.2">
      <c r="A20" s="187" t="s">
        <v>147</v>
      </c>
      <c r="B20" s="218">
        <f>INDEX(F20:G20,Ortsdaten!$H$2+1)</f>
        <v>1</v>
      </c>
      <c r="C20" s="187" t="str">
        <f>Ortsdaten!$G$12</f>
        <v>Fr.</v>
      </c>
      <c r="F20" s="220">
        <v>1</v>
      </c>
      <c r="G20" s="232">
        <f>F20/1.1</f>
        <v>0.90909090909090906</v>
      </c>
      <c r="I20" s="220">
        <v>1</v>
      </c>
      <c r="J20" s="232">
        <v>0.64516129032258063</v>
      </c>
    </row>
    <row r="21" spans="1:10" x14ac:dyDescent="0.2">
      <c r="A21" s="207" t="s">
        <v>93</v>
      </c>
      <c r="B21" s="208">
        <v>0</v>
      </c>
      <c r="C21" s="187" t="str">
        <f>Ortsdaten!$G$12</f>
        <v>Fr.</v>
      </c>
      <c r="F21" s="229"/>
      <c r="G21" s="233"/>
      <c r="I21" s="229"/>
      <c r="J21" s="233"/>
    </row>
    <row r="22" spans="1:10" x14ac:dyDescent="0.2">
      <c r="B22" s="189"/>
      <c r="F22" s="229"/>
      <c r="G22" s="233"/>
      <c r="I22" s="229"/>
      <c r="J22" s="233"/>
    </row>
    <row r="23" spans="1:10" x14ac:dyDescent="0.2">
      <c r="B23" s="194"/>
      <c r="C23" s="187"/>
      <c r="G23" s="233"/>
      <c r="I23" s="228"/>
      <c r="J23" s="233"/>
    </row>
    <row r="24" spans="1:10" x14ac:dyDescent="0.2">
      <c r="A24" s="188" t="s">
        <v>79</v>
      </c>
      <c r="B24" s="191">
        <f>SUM(B25:B28)</f>
        <v>24100</v>
      </c>
      <c r="C24" s="187" t="str">
        <f>Ortsdaten!$G$12</f>
        <v>Fr.</v>
      </c>
      <c r="F24" s="230"/>
      <c r="G24" s="233"/>
      <c r="I24" s="230"/>
      <c r="J24" s="233"/>
    </row>
    <row r="25" spans="1:10" x14ac:dyDescent="0.2">
      <c r="A25" s="187" t="s">
        <v>80</v>
      </c>
      <c r="B25" s="218">
        <f>INDEX(F25:G25,Ortsdaten!$H$2+1)</f>
        <v>17000</v>
      </c>
      <c r="C25" s="187" t="str">
        <f>Ortsdaten!$G$12</f>
        <v>Fr.</v>
      </c>
      <c r="E25" s="186" t="s">
        <v>143</v>
      </c>
      <c r="F25" s="220">
        <v>17000</v>
      </c>
      <c r="G25" s="232">
        <f t="shared" ref="G25:G28" si="2">F25/1.1</f>
        <v>15454.545454545454</v>
      </c>
      <c r="I25" s="220">
        <v>17000</v>
      </c>
      <c r="J25" s="232">
        <v>10967.741935483871</v>
      </c>
    </row>
    <row r="26" spans="1:10" x14ac:dyDescent="0.2">
      <c r="A26" s="187" t="s">
        <v>81</v>
      </c>
      <c r="B26" s="218">
        <f>INDEX(F26:G26,Ortsdaten!$H$2+1)</f>
        <v>0</v>
      </c>
      <c r="C26" s="187" t="str">
        <f>Ortsdaten!$G$12</f>
        <v>Fr.</v>
      </c>
      <c r="F26" s="220">
        <v>0</v>
      </c>
      <c r="G26" s="232">
        <f t="shared" si="2"/>
        <v>0</v>
      </c>
      <c r="I26" s="220">
        <v>0</v>
      </c>
      <c r="J26" s="232">
        <v>0</v>
      </c>
    </row>
    <row r="27" spans="1:10" x14ac:dyDescent="0.2">
      <c r="A27" s="187" t="s">
        <v>82</v>
      </c>
      <c r="B27" s="218">
        <f>INDEX(F27:G27,Ortsdaten!$H$2+1)</f>
        <v>4600</v>
      </c>
      <c r="C27" s="187" t="str">
        <f>Ortsdaten!$G$12</f>
        <v>Fr.</v>
      </c>
      <c r="F27" s="220">
        <v>4600</v>
      </c>
      <c r="G27" s="232">
        <f t="shared" si="2"/>
        <v>4181.8181818181811</v>
      </c>
      <c r="I27" s="220">
        <v>4600</v>
      </c>
      <c r="J27" s="232">
        <v>2967.7419354838707</v>
      </c>
    </row>
    <row r="28" spans="1:10" x14ac:dyDescent="0.2">
      <c r="A28" s="187" t="s">
        <v>175</v>
      </c>
      <c r="B28" s="218">
        <f>INDEX(F28:G28,Ortsdaten!$H$2+1)</f>
        <v>2500</v>
      </c>
      <c r="C28" s="187" t="str">
        <f>Ortsdaten!$G$12</f>
        <v>Fr.</v>
      </c>
      <c r="F28" s="220">
        <v>2500</v>
      </c>
      <c r="G28" s="232">
        <f t="shared" si="2"/>
        <v>2272.7272727272725</v>
      </c>
      <c r="I28" s="220">
        <v>2500</v>
      </c>
      <c r="J28" s="232">
        <v>1612.9032258064515</v>
      </c>
    </row>
    <row r="29" spans="1:10" x14ac:dyDescent="0.2">
      <c r="A29" s="207" t="s">
        <v>176</v>
      </c>
      <c r="B29" s="208"/>
      <c r="C29" s="187" t="str">
        <f>Ortsdaten!$G$12</f>
        <v>Fr.</v>
      </c>
      <c r="F29" s="230"/>
      <c r="G29" s="233"/>
      <c r="I29" s="230"/>
      <c r="J29" s="233"/>
    </row>
    <row r="30" spans="1:10" x14ac:dyDescent="0.2">
      <c r="A30" s="188" t="s">
        <v>83</v>
      </c>
      <c r="B30" s="191">
        <f>SUM(B31:B32)</f>
        <v>400</v>
      </c>
      <c r="C30" s="187" t="str">
        <f>Ortsdaten!$G$12</f>
        <v>Fr.</v>
      </c>
      <c r="F30" s="230"/>
      <c r="G30" s="233"/>
      <c r="I30" s="230"/>
      <c r="J30" s="233"/>
    </row>
    <row r="31" spans="1:10" x14ac:dyDescent="0.2">
      <c r="A31" s="187" t="s">
        <v>86</v>
      </c>
      <c r="B31" s="218">
        <f>INDEX(F31:G31,Ortsdaten!$H$2+1)</f>
        <v>400</v>
      </c>
      <c r="C31" s="187" t="str">
        <f>Ortsdaten!$G$12</f>
        <v>Fr.</v>
      </c>
      <c r="F31" s="220">
        <v>400</v>
      </c>
      <c r="G31" s="232">
        <f>F31/1.1</f>
        <v>363.63636363636363</v>
      </c>
      <c r="I31" s="220">
        <v>400</v>
      </c>
      <c r="J31" s="232">
        <v>258.06451612903226</v>
      </c>
    </row>
    <row r="32" spans="1:10" x14ac:dyDescent="0.2">
      <c r="A32" s="207" t="s">
        <v>93</v>
      </c>
      <c r="B32" s="208">
        <v>0</v>
      </c>
      <c r="C32" s="187" t="str">
        <f>Ortsdaten!$G$12</f>
        <v>Fr.</v>
      </c>
      <c r="G32" s="233"/>
      <c r="I32" s="228"/>
      <c r="J32" s="233"/>
    </row>
    <row r="33" spans="1:10" x14ac:dyDescent="0.2">
      <c r="A33" s="187"/>
      <c r="B33" s="195"/>
      <c r="C33" s="187"/>
      <c r="G33" s="233"/>
      <c r="I33" s="228"/>
      <c r="J33" s="233"/>
    </row>
    <row r="34" spans="1:10" x14ac:dyDescent="0.2">
      <c r="A34" s="188" t="s">
        <v>87</v>
      </c>
      <c r="B34" s="191">
        <f>SUM(B35:B36)</f>
        <v>10100</v>
      </c>
      <c r="C34" s="187" t="str">
        <f>Ortsdaten!$G$12</f>
        <v>Fr.</v>
      </c>
      <c r="F34" s="230"/>
      <c r="G34" s="233"/>
      <c r="I34" s="230"/>
      <c r="J34" s="233"/>
    </row>
    <row r="35" spans="1:10" x14ac:dyDescent="0.2">
      <c r="A35" s="187" t="s">
        <v>88</v>
      </c>
      <c r="B35" s="218">
        <f>INDEX(F35:G35,Ortsdaten!$H$2+1)</f>
        <v>5500</v>
      </c>
      <c r="C35" s="187" t="str">
        <f>Ortsdaten!$G$12</f>
        <v>Fr.</v>
      </c>
      <c r="E35" s="186" t="s">
        <v>143</v>
      </c>
      <c r="F35" s="220">
        <v>5500</v>
      </c>
      <c r="G35" s="232">
        <f t="shared" ref="G35:G36" si="3">F35/1.1</f>
        <v>5000</v>
      </c>
      <c r="I35" s="220">
        <v>5500</v>
      </c>
      <c r="J35" s="232">
        <v>3548.3870967741937</v>
      </c>
    </row>
    <row r="36" spans="1:10" x14ac:dyDescent="0.2">
      <c r="A36" s="187" t="s">
        <v>82</v>
      </c>
      <c r="B36" s="218">
        <f>INDEX(F36:G36,Ortsdaten!$H$2+1)</f>
        <v>4600</v>
      </c>
      <c r="C36" s="187" t="str">
        <f>Ortsdaten!$G$12</f>
        <v>Fr.</v>
      </c>
      <c r="E36" s="196"/>
      <c r="F36" s="220">
        <v>4600</v>
      </c>
      <c r="G36" s="232">
        <f t="shared" si="3"/>
        <v>4181.8181818181811</v>
      </c>
      <c r="I36" s="220">
        <v>4600</v>
      </c>
      <c r="J36" s="232">
        <v>2967.7419354838707</v>
      </c>
    </row>
    <row r="37" spans="1:10" x14ac:dyDescent="0.2">
      <c r="A37" s="207" t="s">
        <v>93</v>
      </c>
      <c r="B37" s="208">
        <v>0</v>
      </c>
      <c r="C37" s="187" t="str">
        <f>Ortsdaten!$G$12</f>
        <v>Fr.</v>
      </c>
      <c r="F37" s="230"/>
      <c r="G37" s="233"/>
      <c r="I37" s="230"/>
      <c r="J37" s="233"/>
    </row>
    <row r="38" spans="1:10" s="188" customFormat="1" x14ac:dyDescent="0.2">
      <c r="A38" s="188" t="s">
        <v>84</v>
      </c>
      <c r="B38" s="191">
        <f>SUM(B39:B40)</f>
        <v>0</v>
      </c>
      <c r="C38" s="187" t="str">
        <f>Ortsdaten!$G$12</f>
        <v>Fr.</v>
      </c>
      <c r="E38" s="186"/>
      <c r="F38" s="230"/>
      <c r="G38" s="233"/>
      <c r="I38" s="230"/>
      <c r="J38" s="233"/>
    </row>
    <row r="39" spans="1:10" x14ac:dyDescent="0.2">
      <c r="A39" s="187" t="s">
        <v>282</v>
      </c>
      <c r="B39" s="218">
        <v>0</v>
      </c>
      <c r="C39" s="187" t="str">
        <f>Ortsdaten!$G$12</f>
        <v>Fr.</v>
      </c>
      <c r="F39" s="220">
        <v>400</v>
      </c>
      <c r="G39" s="232">
        <f>F39/1.1</f>
        <v>363.63636363636363</v>
      </c>
      <c r="I39" s="220">
        <v>400</v>
      </c>
      <c r="J39" s="232">
        <v>258.06451612903226</v>
      </c>
    </row>
    <row r="40" spans="1:10" x14ac:dyDescent="0.2">
      <c r="A40" s="207" t="s">
        <v>93</v>
      </c>
      <c r="B40" s="208">
        <v>0</v>
      </c>
      <c r="C40" s="187" t="str">
        <f>Ortsdaten!$G$12</f>
        <v>Fr.</v>
      </c>
      <c r="G40" s="233"/>
      <c r="I40" s="228"/>
      <c r="J40" s="233"/>
    </row>
    <row r="41" spans="1:10" x14ac:dyDescent="0.2">
      <c r="A41" s="187"/>
      <c r="B41" s="195"/>
      <c r="C41" s="187"/>
      <c r="G41" s="233"/>
      <c r="I41" s="228"/>
      <c r="J41" s="233"/>
    </row>
    <row r="42" spans="1:10" x14ac:dyDescent="0.2">
      <c r="A42" s="188" t="s">
        <v>89</v>
      </c>
      <c r="B42" s="191">
        <f>SUM(B43:B44)</f>
        <v>14600</v>
      </c>
      <c r="C42" s="187" t="str">
        <f>Ortsdaten!$G$12</f>
        <v>Fr.</v>
      </c>
      <c r="F42" s="230"/>
      <c r="G42" s="233"/>
      <c r="I42" s="230"/>
      <c r="J42" s="233"/>
    </row>
    <row r="43" spans="1:10" x14ac:dyDescent="0.2">
      <c r="A43" s="187" t="s">
        <v>92</v>
      </c>
      <c r="B43" s="218">
        <f>INDEX(F43:G43,Ortsdaten!$H$2+1)</f>
        <v>10000</v>
      </c>
      <c r="C43" s="187" t="str">
        <f>Ortsdaten!$G$12</f>
        <v>Fr.</v>
      </c>
      <c r="E43" s="186" t="s">
        <v>143</v>
      </c>
      <c r="F43" s="220">
        <v>10000</v>
      </c>
      <c r="G43" s="232">
        <f t="shared" ref="G43:G44" si="4">F43/1.1</f>
        <v>9090.9090909090901</v>
      </c>
      <c r="I43" s="220">
        <v>10000</v>
      </c>
      <c r="J43" s="232">
        <v>6451.6129032258059</v>
      </c>
    </row>
    <row r="44" spans="1:10" x14ac:dyDescent="0.2">
      <c r="A44" s="187" t="s">
        <v>82</v>
      </c>
      <c r="B44" s="218">
        <f>INDEX(F44:G44,Ortsdaten!$H$2+1)</f>
        <v>4600</v>
      </c>
      <c r="C44" s="187" t="str">
        <f>Ortsdaten!$G$12</f>
        <v>Fr.</v>
      </c>
      <c r="F44" s="220">
        <v>4600</v>
      </c>
      <c r="G44" s="232">
        <f t="shared" si="4"/>
        <v>4181.8181818181811</v>
      </c>
      <c r="I44" s="220">
        <v>4600</v>
      </c>
      <c r="J44" s="232">
        <v>2967.7419354838707</v>
      </c>
    </row>
    <row r="45" spans="1:10" x14ac:dyDescent="0.2">
      <c r="A45" s="207" t="s">
        <v>93</v>
      </c>
      <c r="B45" s="208">
        <v>0</v>
      </c>
      <c r="C45" s="187" t="str">
        <f>Ortsdaten!$G$12</f>
        <v>Fr.</v>
      </c>
      <c r="F45" s="230"/>
      <c r="G45" s="233"/>
      <c r="I45" s="230"/>
      <c r="J45" s="233"/>
    </row>
    <row r="46" spans="1:10" x14ac:dyDescent="0.2">
      <c r="A46" s="188" t="s">
        <v>85</v>
      </c>
      <c r="B46" s="191">
        <f>SUM(B47:B48)</f>
        <v>400</v>
      </c>
      <c r="C46" s="187" t="str">
        <f>Ortsdaten!$G$12</f>
        <v>Fr.</v>
      </c>
      <c r="F46" s="230"/>
      <c r="G46" s="233"/>
      <c r="I46" s="230"/>
      <c r="J46" s="233"/>
    </row>
    <row r="47" spans="1:10" x14ac:dyDescent="0.2">
      <c r="A47" s="187" t="s">
        <v>86</v>
      </c>
      <c r="B47" s="218">
        <f>INDEX(F47:G47,Ortsdaten!$H$2+1)</f>
        <v>400</v>
      </c>
      <c r="C47" s="187" t="str">
        <f>Ortsdaten!$G$12</f>
        <v>Fr.</v>
      </c>
      <c r="F47" s="220">
        <v>400</v>
      </c>
      <c r="G47" s="232">
        <f>F47/1.1</f>
        <v>363.63636363636363</v>
      </c>
      <c r="I47" s="220">
        <v>400</v>
      </c>
      <c r="J47" s="232">
        <v>258.06451612903226</v>
      </c>
    </row>
    <row r="48" spans="1:10" x14ac:dyDescent="0.2">
      <c r="A48" s="207" t="s">
        <v>93</v>
      </c>
      <c r="B48" s="208">
        <v>0</v>
      </c>
      <c r="C48" s="187" t="str">
        <f>Ortsdaten!$G$12</f>
        <v>Fr.</v>
      </c>
      <c r="G48" s="233"/>
      <c r="I48" s="228"/>
      <c r="J48" s="233"/>
    </row>
    <row r="49" spans="1:10" x14ac:dyDescent="0.2">
      <c r="A49" s="188"/>
      <c r="G49" s="233"/>
      <c r="I49" s="228"/>
      <c r="J49" s="233"/>
    </row>
    <row r="50" spans="1:10" x14ac:dyDescent="0.2">
      <c r="A50" s="188" t="s">
        <v>75</v>
      </c>
      <c r="G50" s="233"/>
      <c r="I50" s="228"/>
      <c r="J50" s="233"/>
    </row>
    <row r="51" spans="1:10" x14ac:dyDescent="0.2">
      <c r="A51" s="187" t="s">
        <v>99</v>
      </c>
      <c r="B51" s="218">
        <f>INDEX(F51:G51,Ortsdaten!$H$2+1)</f>
        <v>1800</v>
      </c>
      <c r="C51" s="187" t="str">
        <f>Ortsdaten!G14</f>
        <v>Fr. / m2</v>
      </c>
      <c r="E51" s="186" t="s">
        <v>311</v>
      </c>
      <c r="F51" s="236">
        <v>1800</v>
      </c>
      <c r="G51" s="232">
        <f>F51/1.1</f>
        <v>1636.3636363636363</v>
      </c>
      <c r="I51" s="220">
        <v>1500</v>
      </c>
      <c r="J51" s="232">
        <v>967.74193548387098</v>
      </c>
    </row>
    <row r="52" spans="1:10" x14ac:dyDescent="0.2">
      <c r="G52" s="233"/>
      <c r="I52" s="228"/>
      <c r="J52" s="233"/>
    </row>
    <row r="53" spans="1:10" x14ac:dyDescent="0.2">
      <c r="A53" s="188" t="s">
        <v>68</v>
      </c>
      <c r="G53" s="233"/>
      <c r="I53" s="228"/>
      <c r="J53" s="233"/>
    </row>
    <row r="54" spans="1:10" x14ac:dyDescent="0.2">
      <c r="A54" s="187" t="s">
        <v>100</v>
      </c>
      <c r="B54" s="218">
        <f>INDEX(F54:G54,Ortsdaten!$H$2+1)</f>
        <v>2500</v>
      </c>
      <c r="C54" s="187" t="str">
        <f>Ortsdaten!G15</f>
        <v>Fr. / kWpeak</v>
      </c>
      <c r="F54" s="236">
        <v>2500</v>
      </c>
      <c r="G54" s="232">
        <v>1900</v>
      </c>
      <c r="I54" s="220">
        <v>7500</v>
      </c>
      <c r="J54" s="232">
        <v>4838.7096774193551</v>
      </c>
    </row>
    <row r="55" spans="1:10" x14ac:dyDescent="0.2">
      <c r="A55" s="187" t="s">
        <v>161</v>
      </c>
      <c r="B55" s="218">
        <f>INDEX(F55:G55,Ortsdaten!$H$2+1)</f>
        <v>10</v>
      </c>
      <c r="C55" s="187" t="str">
        <f>Ortsdaten!G11</f>
        <v>Fr. / a</v>
      </c>
      <c r="F55" s="236">
        <v>10</v>
      </c>
      <c r="G55" s="232">
        <f>F55/1.1</f>
        <v>9.0909090909090899</v>
      </c>
      <c r="I55" s="220">
        <v>50</v>
      </c>
      <c r="J55" s="232">
        <v>32.258064516129032</v>
      </c>
    </row>
    <row r="56" spans="1:10" x14ac:dyDescent="0.2">
      <c r="A56" s="187" t="s">
        <v>102</v>
      </c>
      <c r="B56" s="90">
        <v>0.15</v>
      </c>
      <c r="C56" s="187" t="s">
        <v>104</v>
      </c>
      <c r="E56" s="186" t="s">
        <v>105</v>
      </c>
    </row>
    <row r="58" spans="1:10" x14ac:dyDescent="0.2">
      <c r="B58" s="189"/>
      <c r="F58" s="229"/>
    </row>
    <row r="59" spans="1:10" x14ac:dyDescent="0.2">
      <c r="B59" s="189"/>
      <c r="F59" s="229"/>
    </row>
  </sheetData>
  <customSheetViews>
    <customSheetView guid="{BFD0A862-FF9D-4229-ADD0-2A37AEA5AF1F}" showGridLines="0" showRowCol="0" topLeftCell="A13">
      <selection activeCell="B54" activeCellId="11" sqref="B3 B7:B12 B15:B17 B20:B21 B25:B29 B31:B32 B35:B37 B39:B40 B43:B45 B47:B48 B51 B54:B56"/>
      <pageMargins left="0.74803149606299213" right="0.74803149606299213" top="0.74803149606299213" bottom="0.74803149606299213" header="0.31496062992125984" footer="0.74803149606299213"/>
      <pageSetup paperSize="9" scale="73" orientation="portrait" r:id="rId1"/>
      <headerFooter>
        <oddHeader>&amp;L&amp;A&amp;RDomares</oddHeader>
        <oddFooter>&amp;LMichael Eschmann, Markus Markaler&amp;RInstitut für Energiesysteme</oddFooter>
      </headerFooter>
    </customSheetView>
    <customSheetView guid="{11DD1BF8-C577-48F3-8516-9D608BF5BCA7}" showPageBreaks="1" showGridLines="0" showRowCol="0" printArea="1" hiddenColumns="1">
      <selection activeCell="F1" sqref="F1:J65536"/>
      <pageMargins left="0.74803149606299213" right="0.74803149606299213" top="0.74803149606299213" bottom="0.94" header="0.31496062992125984" footer="0.68"/>
      <pageSetup paperSize="9" scale="73" orientation="portrait" r:id="rId2"/>
      <headerFooter>
        <oddHeader>&amp;L&amp;A&amp;RDomares</oddHeader>
        <oddFooter>&amp;LMichael Eschmann, Markus Markaler&amp;RInstitut für Energiesysteme</oddFooter>
      </headerFooter>
    </customSheetView>
  </customSheetViews>
  <phoneticPr fontId="21" type="noConversion"/>
  <pageMargins left="0.74803149606299213" right="0.74803149606299213" top="0.74803149606299213" bottom="0.94" header="0.31496062992125984" footer="0.68"/>
  <pageSetup paperSize="9" scale="73" orientation="portrait" r:id="rId3"/>
  <headerFooter>
    <oddHeader>&amp;L&amp;A&amp;RDomares</oddHeader>
    <oddFooter>&amp;LMichael Eschmann, Markus Markaler&amp;RInstitut für Energiesysteme</oddFooter>
  </headerFooter>
  <ignoredErrors>
    <ignoredError sqref="B34 B42 B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U135"/>
  <sheetViews>
    <sheetView showGridLines="0" showRowColHeaders="0" zoomScaleNormal="100" workbookViewId="0">
      <selection activeCell="B13" sqref="B13"/>
    </sheetView>
  </sheetViews>
  <sheetFormatPr baseColWidth="10" defaultRowHeight="12.75" x14ac:dyDescent="0.2"/>
  <cols>
    <col min="1" max="1" width="26.28515625" style="27" customWidth="1"/>
    <col min="2" max="2" width="14" style="34" customWidth="1"/>
    <col min="3" max="9" width="13.42578125" style="34" customWidth="1"/>
    <col min="10" max="21" width="6" style="34" customWidth="1"/>
    <col min="22" max="16384" width="11.42578125" style="27"/>
  </cols>
  <sheetData>
    <row r="1" spans="1:21" s="21" customFormat="1" x14ac:dyDescent="0.2">
      <c r="A1" s="24" t="s">
        <v>158</v>
      </c>
      <c r="B1" s="56" t="str">
        <f>Ortsdaten!B2</f>
        <v>Region Buchs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x14ac:dyDescent="0.2"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s="24" customFormat="1" x14ac:dyDescent="0.2">
      <c r="A3" s="65" t="s">
        <v>189</v>
      </c>
      <c r="B3" s="108" t="str">
        <f>Ergebnisse!B1</f>
        <v>Erdsonde-WP</v>
      </c>
      <c r="C3" s="110" t="str">
        <f>Ergebnisse!C1</f>
        <v>Pelletheizung</v>
      </c>
      <c r="D3" s="109" t="str">
        <f>Ergebnisse!D1</f>
        <v>Erdgas</v>
      </c>
      <c r="E3" s="66" t="str">
        <f>Ergebnisse!E1</f>
        <v>Erdöl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s="21" customFormat="1" x14ac:dyDescent="0.2">
      <c r="A4" s="28" t="str">
        <f>Ergebnisse!A22</f>
        <v>Investition Gebäudehülle</v>
      </c>
      <c r="B4" s="45">
        <f>Ergebnisse!B22</f>
        <v>0</v>
      </c>
      <c r="C4" s="45">
        <f>Ergebnisse!C22</f>
        <v>0</v>
      </c>
      <c r="D4" s="45">
        <f>Ergebnisse!D22</f>
        <v>0</v>
      </c>
      <c r="E4" s="45">
        <f>Ergebnisse!E22</f>
        <v>0</v>
      </c>
      <c r="F4" s="22" t="str">
        <f>Ortsdaten!$G$12</f>
        <v>Fr.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21" customFormat="1" x14ac:dyDescent="0.2">
      <c r="A5" s="28" t="str">
        <f>Ergebnisse!A23</f>
        <v>Investition Wärmesystem</v>
      </c>
      <c r="B5" s="45">
        <f>Ergebnisse!B23</f>
        <v>28926.520889285712</v>
      </c>
      <c r="C5" s="45">
        <f>Ergebnisse!C23</f>
        <v>24100</v>
      </c>
      <c r="D5" s="45">
        <f>Ergebnisse!D23</f>
        <v>10100</v>
      </c>
      <c r="E5" s="45">
        <f>Ergebnisse!E23</f>
        <v>14600</v>
      </c>
      <c r="F5" s="22" t="str">
        <f>Ortsdaten!$G$12</f>
        <v>Fr.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s="21" customFormat="1" x14ac:dyDescent="0.2">
      <c r="A6" s="28" t="str">
        <f>Ergebnisse!A24</f>
        <v>Investition Solarthermie</v>
      </c>
      <c r="B6" s="45">
        <f>Ergebnisse!B24</f>
        <v>0</v>
      </c>
      <c r="C6" s="45">
        <f>Ergebnisse!C24</f>
        <v>27000</v>
      </c>
      <c r="D6" s="45">
        <f>Ergebnisse!D24</f>
        <v>27000</v>
      </c>
      <c r="E6" s="45">
        <f>Ergebnisse!E24</f>
        <v>27000</v>
      </c>
      <c r="F6" s="22" t="str">
        <f>Ortsdaten!$G$12</f>
        <v>Fr.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1" customFormat="1" x14ac:dyDescent="0.2">
      <c r="A7" s="28" t="str">
        <f>Ergebnisse!A25</f>
        <v>Investition PV</v>
      </c>
      <c r="B7" s="45">
        <f>Ergebnisse!B25</f>
        <v>10570.000000000002</v>
      </c>
      <c r="C7" s="45">
        <f>Ergebnisse!C25</f>
        <v>20790</v>
      </c>
      <c r="D7" s="45">
        <f>Ergebnisse!D25</f>
        <v>18830</v>
      </c>
      <c r="E7" s="45">
        <f>Ergebnisse!E25</f>
        <v>19740.000000000004</v>
      </c>
      <c r="F7" s="22" t="str">
        <f>Ortsdaten!$G$12</f>
        <v>Fr.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s="21" customFormat="1" ht="13.5" thickBot="1" x14ac:dyDescent="0.25">
      <c r="A8" s="67" t="s">
        <v>265</v>
      </c>
      <c r="B8" s="68">
        <f>SUM(B4:B7)</f>
        <v>39496.520889285712</v>
      </c>
      <c r="C8" s="68">
        <f>SUM(C4:C7)</f>
        <v>71890</v>
      </c>
      <c r="D8" s="68">
        <f>SUM(D4:D7)</f>
        <v>55930</v>
      </c>
      <c r="E8" s="68">
        <f>SUM(E4:E7)</f>
        <v>61340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s="21" customFormat="1" ht="13.5" thickTop="1" x14ac:dyDescent="0.2">
      <c r="A9" s="28"/>
      <c r="B9" s="45"/>
      <c r="C9" s="45"/>
      <c r="D9" s="45"/>
      <c r="E9" s="4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x14ac:dyDescent="0.2">
      <c r="A10" s="21" t="s">
        <v>238</v>
      </c>
      <c r="B10" s="180">
        <v>0</v>
      </c>
      <c r="C10" s="180">
        <v>0</v>
      </c>
      <c r="D10" s="180">
        <v>0</v>
      </c>
      <c r="E10" s="180">
        <v>0</v>
      </c>
      <c r="F10" s="22" t="str">
        <f>Ortsdaten!$G$12</f>
        <v>Fr.</v>
      </c>
    </row>
    <row r="11" spans="1:21" x14ac:dyDescent="0.2">
      <c r="A11" s="21" t="s">
        <v>239</v>
      </c>
      <c r="B11" s="180">
        <v>0</v>
      </c>
      <c r="C11" s="180">
        <v>0</v>
      </c>
      <c r="D11" s="180">
        <v>0</v>
      </c>
      <c r="E11" s="180">
        <v>0</v>
      </c>
      <c r="F11" s="22" t="str">
        <f>Ortsdaten!$G$12</f>
        <v>Fr.</v>
      </c>
    </row>
    <row r="12" spans="1:21" x14ac:dyDescent="0.2">
      <c r="A12" s="21" t="s">
        <v>240</v>
      </c>
      <c r="B12" s="180">
        <f>IF(Übersicht!E8&lt;&gt;0,Ortsdaten!$B15,0)</f>
        <v>0</v>
      </c>
      <c r="C12" s="180">
        <f>IF(Übersicht!G8&lt;&gt;0,Ortsdaten!$B15,0)</f>
        <v>2000</v>
      </c>
      <c r="D12" s="180">
        <f>IF(Übersicht!I8&lt;&gt;0,Ortsdaten!$B15,0)</f>
        <v>2000</v>
      </c>
      <c r="E12" s="180">
        <f>IF(Übersicht!K8&lt;&gt;0,Ortsdaten!$B15,0)</f>
        <v>2000</v>
      </c>
      <c r="F12" s="22" t="str">
        <f>Ortsdaten!$G$12</f>
        <v>Fr.</v>
      </c>
    </row>
    <row r="13" spans="1:21" x14ac:dyDescent="0.2">
      <c r="A13" s="21" t="s">
        <v>315</v>
      </c>
      <c r="B13" s="180">
        <f>IF(Berechnungen!B3*Ortsdaten!$B13&gt;Ortsdaten!$B14,Ortsdaten!$B14,Berechnungen!B3*Ortsdaten!$B13)</f>
        <v>0</v>
      </c>
      <c r="C13" s="180">
        <f>IF(Berechnungen!C3*Ortsdaten!$B13&gt;Ortsdaten!$B14,Ortsdaten!$B14,Berechnungen!C3*Ortsdaten!$B13)</f>
        <v>0</v>
      </c>
      <c r="D13" s="180">
        <f>IF(Berechnungen!D3*Ortsdaten!$B13&gt;Ortsdaten!$B14,Ortsdaten!$B14,Berechnungen!D3*Ortsdaten!$B13)</f>
        <v>0</v>
      </c>
      <c r="E13" s="180">
        <f>IF(Berechnungen!E3*Ortsdaten!$B13&gt;Ortsdaten!$B14,Ortsdaten!$B14,Berechnungen!E3*Ortsdaten!$B13)</f>
        <v>0</v>
      </c>
      <c r="F13" s="22" t="str">
        <f>Ortsdaten!$G$12</f>
        <v>Fr.</v>
      </c>
    </row>
    <row r="14" spans="1:21" x14ac:dyDescent="0.2">
      <c r="B14" s="45"/>
      <c r="C14" s="45"/>
      <c r="D14" s="45"/>
      <c r="E14" s="45"/>
    </row>
    <row r="15" spans="1:21" x14ac:dyDescent="0.2">
      <c r="A15" s="21" t="s">
        <v>266</v>
      </c>
      <c r="B15" s="45">
        <f>B8-SUM(B10:B13)</f>
        <v>39496.520889285712</v>
      </c>
      <c r="C15" s="45">
        <f>SUM(C4:C7)-SUM(C10:C13)</f>
        <v>69890</v>
      </c>
      <c r="D15" s="45">
        <f>SUM(D4:D7)-SUM(D10:D13)</f>
        <v>53930</v>
      </c>
      <c r="E15" s="45">
        <f>SUM(E4:E7)-SUM(E10:E13)</f>
        <v>59340</v>
      </c>
      <c r="F15" s="22" t="str">
        <f>Ortsdaten!$G$12</f>
        <v>Fr.</v>
      </c>
    </row>
    <row r="16" spans="1:21" x14ac:dyDescent="0.2">
      <c r="A16" s="21" t="s">
        <v>320</v>
      </c>
      <c r="B16" s="181">
        <v>0</v>
      </c>
      <c r="C16" s="181">
        <v>0</v>
      </c>
      <c r="D16" s="181">
        <v>0</v>
      </c>
      <c r="E16" s="181">
        <v>0</v>
      </c>
    </row>
    <row r="17" spans="1:6" x14ac:dyDescent="0.2">
      <c r="A17" s="21" t="s">
        <v>321</v>
      </c>
      <c r="B17" s="182">
        <f>B16*B15</f>
        <v>0</v>
      </c>
      <c r="C17" s="182">
        <f>C16*C15</f>
        <v>0</v>
      </c>
      <c r="D17" s="182">
        <f>D16*D15</f>
        <v>0</v>
      </c>
      <c r="E17" s="182">
        <f>E16*E15</f>
        <v>0</v>
      </c>
    </row>
    <row r="18" spans="1:6" ht="13.5" thickBot="1" x14ac:dyDescent="0.25">
      <c r="A18" s="48" t="s">
        <v>55</v>
      </c>
      <c r="B18" s="49">
        <f>B15-B17</f>
        <v>39496.520889285712</v>
      </c>
      <c r="C18" s="49">
        <f>C15-C17</f>
        <v>69890</v>
      </c>
      <c r="D18" s="49">
        <f>D15-D17</f>
        <v>53930</v>
      </c>
      <c r="E18" s="49">
        <f>E15-E17</f>
        <v>59340</v>
      </c>
      <c r="F18" s="22" t="str">
        <f>Ortsdaten!$G$12</f>
        <v>Fr.</v>
      </c>
    </row>
    <row r="19" spans="1:6" ht="13.5" thickTop="1" x14ac:dyDescent="0.2">
      <c r="B19" s="22"/>
      <c r="C19" s="22"/>
      <c r="D19" s="22"/>
      <c r="E19" s="22"/>
    </row>
    <row r="20" spans="1:6" x14ac:dyDescent="0.2">
      <c r="A20" s="21" t="s">
        <v>281</v>
      </c>
      <c r="B20" s="69">
        <f>Ergebnisse!B18</f>
        <v>703.45339244000002</v>
      </c>
      <c r="C20" s="69">
        <f>Ergebnisse!C18</f>
        <v>457.81029957270596</v>
      </c>
      <c r="D20" s="69">
        <f>Ergebnisse!D18</f>
        <v>795.59791100631583</v>
      </c>
      <c r="E20" s="69">
        <f>Ergebnisse!E18</f>
        <v>683.0964186980392</v>
      </c>
      <c r="F20" s="22" t="str">
        <f>Ortsdaten!$G$11</f>
        <v>Fr. / a</v>
      </c>
    </row>
    <row r="21" spans="1:6" x14ac:dyDescent="0.2">
      <c r="A21" s="21" t="s">
        <v>279</v>
      </c>
      <c r="B21" s="69">
        <f>Ergebnisse!B20</f>
        <v>1</v>
      </c>
      <c r="C21" s="69">
        <f>Ergebnisse!C20</f>
        <v>400</v>
      </c>
      <c r="D21" s="69">
        <f>Ergebnisse!D20</f>
        <v>0</v>
      </c>
      <c r="E21" s="69">
        <f>Ergebnisse!E20</f>
        <v>400</v>
      </c>
      <c r="F21" s="22" t="str">
        <f>Ortsdaten!$G$11</f>
        <v>Fr. / a</v>
      </c>
    </row>
    <row r="22" spans="1:6" x14ac:dyDescent="0.2">
      <c r="A22" s="21" t="s">
        <v>267</v>
      </c>
      <c r="B22" s="70">
        <f>-PMT(Übersicht!$B11,Übersicht!$B10,B18)</f>
        <v>2906.2231389248964</v>
      </c>
      <c r="C22" s="70">
        <f>-PMT(Übersicht!$B11,Übersicht!$B10,C18)</f>
        <v>5142.6285304678731</v>
      </c>
      <c r="D22" s="70">
        <f>-PMT(Übersicht!$B11,Übersicht!$B10,D18)</f>
        <v>3968.2637952229561</v>
      </c>
      <c r="E22" s="70">
        <f>-PMT(Übersicht!$B11,Übersicht!$B10,E18)</f>
        <v>4366.3410645008389</v>
      </c>
      <c r="F22" s="22" t="str">
        <f>Ortsdaten!$G$11</f>
        <v>Fr. / a</v>
      </c>
    </row>
    <row r="23" spans="1:6" x14ac:dyDescent="0.2">
      <c r="A23" s="21"/>
      <c r="B23" s="70"/>
      <c r="C23" s="70"/>
      <c r="D23" s="70"/>
      <c r="E23" s="70"/>
      <c r="F23" s="22"/>
    </row>
    <row r="24" spans="1:6" x14ac:dyDescent="0.2">
      <c r="A24" s="61" t="s">
        <v>316</v>
      </c>
      <c r="B24" s="70"/>
      <c r="C24" s="70"/>
      <c r="D24" s="70"/>
      <c r="E24" s="70"/>
      <c r="F24" s="22"/>
    </row>
    <row r="25" spans="1:6" x14ac:dyDescent="0.2">
      <c r="A25" s="21"/>
      <c r="B25" s="70"/>
      <c r="C25" s="70"/>
      <c r="D25" s="70"/>
      <c r="E25" s="70"/>
      <c r="F25" s="22"/>
    </row>
    <row r="26" spans="1:6" x14ac:dyDescent="0.2">
      <c r="A26" s="21"/>
      <c r="B26" s="70"/>
      <c r="C26" s="70"/>
      <c r="D26" s="70"/>
      <c r="E26" s="70"/>
      <c r="F26" s="22"/>
    </row>
    <row r="47" ht="14.25" customHeight="1" x14ac:dyDescent="0.2"/>
    <row r="48" ht="14.25" customHeight="1" x14ac:dyDescent="0.2"/>
    <row r="49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</sheetData>
  <customSheetViews>
    <customSheetView guid="{BFD0A862-FF9D-4229-ADD0-2A37AEA5AF1F}" showGridLines="0" showRowCol="0">
      <selection activeCell="B16" activeCellId="1" sqref="B10:E13 B16:E17"/>
      <pageMargins left="0.74803149606299213" right="0.74803149606299213" top="0.74803149606299213" bottom="0.74803149606299213" header="0.31496062992125984" footer="0.31496062992125984"/>
      <pageSetup paperSize="9" scale="80" orientation="landscape" r:id="rId1"/>
      <headerFooter>
        <oddHeader>&amp;L&amp;A&amp;RDomares</oddHeader>
        <oddFooter>&amp;RInstitut für Energiesysteme</oddFooter>
      </headerFooter>
    </customSheetView>
    <customSheetView guid="{11DD1BF8-C577-48F3-8516-9D608BF5BCA7}" showPageBreaks="1" showGridLines="0" showRowCol="0" printArea="1">
      <selection activeCell="B13" sqref="B13"/>
      <pageMargins left="0.74803149606299213" right="0.74803149606299213" top="0.74803149606299213" bottom="0.74803149606299213" header="0.31496062992125984" footer="0.31496062992125984"/>
      <pageSetup paperSize="9" scale="80" orientation="landscape" r:id="rId2"/>
      <headerFooter>
        <oddHeader>&amp;L&amp;A&amp;RDomares</oddHeader>
        <oddFooter>&amp;RInstitut für Energiesysteme</oddFooter>
      </headerFooter>
    </customSheetView>
  </customSheetViews>
  <phoneticPr fontId="21" type="noConversion"/>
  <pageMargins left="0.74803149606299213" right="0.74803149606299213" top="0.74803149606299213" bottom="0.74803149606299213" header="0.31496062992125984" footer="0.31496062992125984"/>
  <pageSetup paperSize="9" scale="80" orientation="landscape" r:id="rId3"/>
  <headerFooter>
    <oddHeader>&amp;L&amp;A&amp;RDomares</oddHeader>
    <oddFooter>&amp;RInstitut für Energiesysteme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49"/>
  <sheetViews>
    <sheetView showGridLines="0" showRowColHeaders="0" topLeftCell="A7" zoomScaleNormal="100" zoomScalePageLayoutView="90" workbookViewId="0">
      <selection activeCell="B38" sqref="B38"/>
    </sheetView>
  </sheetViews>
  <sheetFormatPr baseColWidth="10" defaultRowHeight="12.75" x14ac:dyDescent="0.2"/>
  <cols>
    <col min="1" max="1" width="30.42578125" style="27" customWidth="1"/>
    <col min="2" max="4" width="11.42578125" style="27"/>
    <col min="5" max="5" width="11.42578125" style="61"/>
    <col min="6" max="6" width="11.42578125" style="27"/>
    <col min="7" max="9" width="11.42578125" style="31"/>
    <col min="10" max="14" width="11.42578125" style="31" hidden="1" customWidth="1"/>
    <col min="15" max="15" width="11.42578125" style="27" hidden="1" customWidth="1"/>
    <col min="16" max="16384" width="11.42578125" style="27"/>
  </cols>
  <sheetData>
    <row r="1" spans="1:15" ht="14.25" x14ac:dyDescent="0.2">
      <c r="A1" s="59" t="s">
        <v>465</v>
      </c>
    </row>
    <row r="3" spans="1:15" x14ac:dyDescent="0.2">
      <c r="A3" s="24" t="s">
        <v>113</v>
      </c>
    </row>
    <row r="4" spans="1:15" x14ac:dyDescent="0.2">
      <c r="A4" s="21" t="s">
        <v>114</v>
      </c>
      <c r="B4" s="88">
        <v>10</v>
      </c>
      <c r="C4" s="21" t="s">
        <v>2</v>
      </c>
    </row>
    <row r="5" spans="1:15" x14ac:dyDescent="0.2">
      <c r="A5" s="21" t="s">
        <v>115</v>
      </c>
      <c r="B5" s="88">
        <v>55</v>
      </c>
      <c r="C5" s="21" t="s">
        <v>2</v>
      </c>
    </row>
    <row r="6" spans="1:15" x14ac:dyDescent="0.2">
      <c r="A6" s="21" t="s">
        <v>77</v>
      </c>
      <c r="B6" s="96">
        <v>50</v>
      </c>
      <c r="C6" s="21" t="s">
        <v>188</v>
      </c>
    </row>
    <row r="7" spans="1:15" x14ac:dyDescent="0.2">
      <c r="A7" s="21"/>
      <c r="B7" s="21"/>
      <c r="C7" s="21"/>
    </row>
    <row r="8" spans="1:15" x14ac:dyDescent="0.2">
      <c r="A8" s="24" t="s">
        <v>51</v>
      </c>
    </row>
    <row r="9" spans="1:15" x14ac:dyDescent="0.2">
      <c r="A9" s="21" t="s">
        <v>456</v>
      </c>
      <c r="B9" s="97">
        <v>4</v>
      </c>
      <c r="J9" s="62">
        <f>B9</f>
        <v>4</v>
      </c>
      <c r="K9" s="62">
        <f>B17</f>
        <v>0.85</v>
      </c>
      <c r="L9" s="62">
        <f>B22</f>
        <v>0.95</v>
      </c>
      <c r="M9" s="62">
        <f>B25</f>
        <v>0.9</v>
      </c>
      <c r="N9" s="54">
        <f>B11</f>
        <v>3.5</v>
      </c>
      <c r="O9" s="31">
        <v>1</v>
      </c>
    </row>
    <row r="10" spans="1:15" x14ac:dyDescent="0.2">
      <c r="A10" s="21" t="s">
        <v>457</v>
      </c>
      <c r="B10" s="97">
        <v>3</v>
      </c>
      <c r="J10" s="62">
        <f>B10</f>
        <v>3</v>
      </c>
      <c r="K10" s="62">
        <f>B17</f>
        <v>0.85</v>
      </c>
      <c r="L10" s="62">
        <f>B22</f>
        <v>0.95</v>
      </c>
      <c r="M10" s="62">
        <f>B25</f>
        <v>0.9</v>
      </c>
      <c r="N10" s="54">
        <f>B12</f>
        <v>2.7</v>
      </c>
      <c r="O10" s="31">
        <v>1</v>
      </c>
    </row>
    <row r="11" spans="1:15" x14ac:dyDescent="0.2">
      <c r="A11" s="21" t="s">
        <v>458</v>
      </c>
      <c r="B11" s="97">
        <v>3.5</v>
      </c>
      <c r="J11" s="62"/>
      <c r="K11" s="62"/>
      <c r="L11" s="62"/>
      <c r="M11" s="62"/>
    </row>
    <row r="12" spans="1:15" x14ac:dyDescent="0.2">
      <c r="A12" s="21" t="s">
        <v>459</v>
      </c>
      <c r="B12" s="97">
        <v>2.7</v>
      </c>
      <c r="J12" s="62"/>
      <c r="K12" s="62"/>
      <c r="L12" s="62"/>
      <c r="M12" s="62"/>
    </row>
    <row r="13" spans="1:15" x14ac:dyDescent="0.2">
      <c r="A13" s="27" t="s">
        <v>56</v>
      </c>
      <c r="B13" s="63">
        <f>((Verbrauch!B12+Verbrauch!B15)*Übersicht!B6-(Verbrauch!B12+Verbrauch!B15)*Übersicht!B6/3.5)/288</f>
        <v>72.598611857142842</v>
      </c>
      <c r="C13" s="27" t="s">
        <v>34</v>
      </c>
    </row>
    <row r="14" spans="1:15" x14ac:dyDescent="0.2">
      <c r="A14" s="27" t="s">
        <v>57</v>
      </c>
      <c r="B14" s="63">
        <f>(Verbrauch!B21*Übersicht!B6-Verbrauch!B21*Übersicht!B6/3)/288</f>
        <v>31.754999999999995</v>
      </c>
      <c r="C14" s="27" t="s">
        <v>34</v>
      </c>
    </row>
    <row r="16" spans="1:15" x14ac:dyDescent="0.2">
      <c r="A16" s="24" t="s">
        <v>126</v>
      </c>
    </row>
    <row r="17" spans="1:4" x14ac:dyDescent="0.2">
      <c r="A17" s="21" t="s">
        <v>127</v>
      </c>
      <c r="B17" s="98">
        <v>0.85</v>
      </c>
      <c r="D17" s="21"/>
    </row>
    <row r="18" spans="1:4" x14ac:dyDescent="0.2">
      <c r="A18" s="21" t="s">
        <v>128</v>
      </c>
      <c r="B18" s="88">
        <v>1.58</v>
      </c>
      <c r="C18" s="21" t="s">
        <v>129</v>
      </c>
    </row>
    <row r="19" spans="1:4" x14ac:dyDescent="0.2">
      <c r="A19" s="21" t="s">
        <v>130</v>
      </c>
      <c r="B19" s="88">
        <v>360</v>
      </c>
      <c r="C19" s="21" t="s">
        <v>131</v>
      </c>
    </row>
    <row r="21" spans="1:4" x14ac:dyDescent="0.2">
      <c r="A21" s="24" t="s">
        <v>73</v>
      </c>
    </row>
    <row r="22" spans="1:4" x14ac:dyDescent="0.2">
      <c r="A22" s="21" t="s">
        <v>132</v>
      </c>
      <c r="B22" s="98">
        <v>0.95</v>
      </c>
    </row>
    <row r="24" spans="1:4" x14ac:dyDescent="0.2">
      <c r="A24" s="24" t="s">
        <v>74</v>
      </c>
    </row>
    <row r="25" spans="1:4" x14ac:dyDescent="0.2">
      <c r="A25" s="21" t="s">
        <v>127</v>
      </c>
      <c r="B25" s="98">
        <v>0.9</v>
      </c>
    </row>
    <row r="27" spans="1:4" x14ac:dyDescent="0.2">
      <c r="A27" s="24" t="s">
        <v>68</v>
      </c>
    </row>
    <row r="28" spans="1:4" x14ac:dyDescent="0.2">
      <c r="A28" s="21" t="s">
        <v>140</v>
      </c>
      <c r="B28" s="99">
        <v>0.14000000000000001</v>
      </c>
    </row>
    <row r="30" spans="1:4" x14ac:dyDescent="0.2">
      <c r="A30" s="24" t="s">
        <v>449</v>
      </c>
    </row>
    <row r="31" spans="1:4" x14ac:dyDescent="0.2">
      <c r="A31" s="27" t="s">
        <v>32</v>
      </c>
      <c r="B31" s="88">
        <v>0.3</v>
      </c>
      <c r="C31" s="27" t="s">
        <v>31</v>
      </c>
      <c r="D31" s="27" t="s">
        <v>357</v>
      </c>
    </row>
    <row r="32" spans="1:4" x14ac:dyDescent="0.2">
      <c r="A32" s="27" t="s">
        <v>35</v>
      </c>
      <c r="B32" s="179">
        <v>0.75</v>
      </c>
      <c r="D32" s="21" t="s">
        <v>450</v>
      </c>
    </row>
    <row r="33" spans="1:8" x14ac:dyDescent="0.2">
      <c r="A33" s="27" t="s">
        <v>118</v>
      </c>
      <c r="B33" s="88">
        <v>835</v>
      </c>
      <c r="C33" s="27" t="s">
        <v>117</v>
      </c>
    </row>
    <row r="35" spans="1:8" ht="14.25" x14ac:dyDescent="0.25">
      <c r="A35" s="24" t="s">
        <v>331</v>
      </c>
    </row>
    <row r="36" spans="1:8" ht="15.75" x14ac:dyDescent="0.3">
      <c r="A36" s="21" t="s">
        <v>146</v>
      </c>
      <c r="B36" s="88">
        <v>24</v>
      </c>
      <c r="C36" s="21" t="s">
        <v>155</v>
      </c>
      <c r="E36" s="21" t="s">
        <v>462</v>
      </c>
      <c r="H36" s="61"/>
    </row>
    <row r="37" spans="1:8" ht="15.75" x14ac:dyDescent="0.3">
      <c r="A37" s="21" t="s">
        <v>54</v>
      </c>
      <c r="B37" s="88">
        <v>0</v>
      </c>
      <c r="C37" s="21" t="s">
        <v>154</v>
      </c>
      <c r="E37" s="27"/>
    </row>
    <row r="38" spans="1:8" ht="15.75" x14ac:dyDescent="0.3">
      <c r="A38" s="21" t="s">
        <v>73</v>
      </c>
      <c r="B38" s="88">
        <v>75</v>
      </c>
      <c r="C38" s="21" t="s">
        <v>154</v>
      </c>
      <c r="E38" s="27"/>
    </row>
    <row r="39" spans="1:8" ht="15.75" x14ac:dyDescent="0.3">
      <c r="A39" s="21" t="s">
        <v>74</v>
      </c>
      <c r="B39" s="88">
        <v>110</v>
      </c>
      <c r="C39" s="21" t="s">
        <v>154</v>
      </c>
      <c r="E39" s="27"/>
    </row>
    <row r="40" spans="1:8" x14ac:dyDescent="0.2">
      <c r="A40" s="21" t="s">
        <v>146</v>
      </c>
      <c r="B40" s="82">
        <f>B36/1000</f>
        <v>2.4E-2</v>
      </c>
      <c r="C40" s="21" t="s">
        <v>148</v>
      </c>
      <c r="E40" s="61" t="s">
        <v>156</v>
      </c>
    </row>
    <row r="41" spans="1:8" x14ac:dyDescent="0.2">
      <c r="A41" s="21" t="s">
        <v>54</v>
      </c>
      <c r="B41" s="82">
        <f>B37*1000/100000/3.6</f>
        <v>0</v>
      </c>
      <c r="C41" s="21" t="s">
        <v>148</v>
      </c>
      <c r="E41" s="61" t="s">
        <v>156</v>
      </c>
    </row>
    <row r="42" spans="1:8" x14ac:dyDescent="0.2">
      <c r="A42" s="21" t="s">
        <v>73</v>
      </c>
      <c r="B42" s="82">
        <f>B38*1000/100000/3.6</f>
        <v>0.20833333333333331</v>
      </c>
      <c r="C42" s="21" t="s">
        <v>148</v>
      </c>
      <c r="E42" s="61" t="s">
        <v>156</v>
      </c>
    </row>
    <row r="43" spans="1:8" x14ac:dyDescent="0.2">
      <c r="A43" s="21" t="s">
        <v>74</v>
      </c>
      <c r="B43" s="82">
        <f>B39*1000/100000/3.6</f>
        <v>0.30555555555555558</v>
      </c>
      <c r="C43" s="21" t="s">
        <v>148</v>
      </c>
      <c r="E43" s="61" t="s">
        <v>156</v>
      </c>
    </row>
    <row r="44" spans="1:8" x14ac:dyDescent="0.2">
      <c r="A44" s="21" t="s">
        <v>146</v>
      </c>
      <c r="B44" s="82">
        <f>B36/1000</f>
        <v>2.4E-2</v>
      </c>
      <c r="C44" s="21" t="s">
        <v>148</v>
      </c>
      <c r="E44" s="61" t="s">
        <v>156</v>
      </c>
    </row>
    <row r="46" spans="1:8" s="101" customFormat="1" hidden="1" x14ac:dyDescent="0.2">
      <c r="A46" s="100" t="s">
        <v>197</v>
      </c>
      <c r="E46" s="102"/>
    </row>
    <row r="47" spans="1:8" s="101" customFormat="1" hidden="1" x14ac:dyDescent="0.2">
      <c r="A47" s="101" t="s">
        <v>54</v>
      </c>
      <c r="B47" s="101">
        <v>5000</v>
      </c>
      <c r="C47" s="101" t="s">
        <v>198</v>
      </c>
      <c r="D47" s="103">
        <f>1/B47</f>
        <v>2.0000000000000001E-4</v>
      </c>
      <c r="E47" s="101" t="s">
        <v>199</v>
      </c>
    </row>
    <row r="48" spans="1:8" s="101" customFormat="1" hidden="1" x14ac:dyDescent="0.2">
      <c r="A48" s="101" t="s">
        <v>74</v>
      </c>
      <c r="B48" s="101">
        <v>1020</v>
      </c>
      <c r="C48" s="101" t="s">
        <v>200</v>
      </c>
      <c r="D48" s="103">
        <f>1/B48</f>
        <v>9.8039215686274508E-4</v>
      </c>
      <c r="E48" s="101" t="s">
        <v>201</v>
      </c>
    </row>
    <row r="49" spans="1:5" s="101" customFormat="1" hidden="1" x14ac:dyDescent="0.2">
      <c r="A49" s="101" t="s">
        <v>73</v>
      </c>
      <c r="B49" s="101">
        <v>11</v>
      </c>
      <c r="C49" s="101" t="s">
        <v>202</v>
      </c>
      <c r="D49" s="103">
        <f>1/B49</f>
        <v>9.0909090909090912E-2</v>
      </c>
      <c r="E49" s="101" t="s">
        <v>203</v>
      </c>
    </row>
  </sheetData>
  <customSheetViews>
    <customSheetView guid="{BFD0A862-FF9D-4229-ADD0-2A37AEA5AF1F}" showGridLines="0" showRowCol="0" hiddenRows="1" hiddenColumns="1">
      <selection activeCell="G7" sqref="G7"/>
      <pageMargins left="0.74803149606299213" right="0.74803149606299213" top="0.74803149606299213" bottom="0.74803149606299213" header="0.31496062992125984" footer="0.31496062992125984"/>
      <pageSetup paperSize="9" scale="66" orientation="portrait" r:id="rId1"/>
      <headerFooter>
        <oddHeader>&amp;L&amp;A&amp;RDomares</oddHeader>
        <oddFooter>&amp;LMichael Eschmann, Markus Markstaler&amp;RInstitut für Energiesysteme</oddFooter>
      </headerFooter>
    </customSheetView>
    <customSheetView guid="{11DD1BF8-C577-48F3-8516-9D608BF5BCA7}" showPageBreaks="1" showGridLines="0" showRowCol="0" printArea="1" hiddenRows="1" hiddenColumns="1" topLeftCell="A7">
      <selection activeCell="B38" sqref="B38"/>
      <pageMargins left="0.74803149606299213" right="0.74803149606299213" top="0.74803149606299213" bottom="0.74803149606299213" header="0.31496062992125984" footer="0.31496062992125984"/>
      <pageSetup paperSize="9" scale="66" orientation="portrait" r:id="rId2"/>
      <headerFooter>
        <oddHeader>&amp;L&amp;A&amp;RDomares</oddHeader>
        <oddFooter>&amp;LMichael Eschmann, Markus Markstaler&amp;RInstitut für Energiesysteme</oddFooter>
      </headerFooter>
    </customSheetView>
  </customSheetViews>
  <phoneticPr fontId="21" type="noConversion"/>
  <pageMargins left="0.74803149606299213" right="0.74803149606299213" top="0.74803149606299213" bottom="0.74803149606299213" header="0.31496062992125984" footer="0.31496062992125984"/>
  <pageSetup paperSize="9" scale="66" orientation="portrait" r:id="rId3"/>
  <headerFooter>
    <oddHeader>&amp;L&amp;A&amp;RDomares</oddHeader>
    <oddFooter>&amp;LMichael Eschmann, Markus Markstaler&amp;RInstitut für Energiesysteme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40"/>
  <sheetViews>
    <sheetView zoomScaleNormal="100" workbookViewId="0">
      <selection activeCell="B27" sqref="B27"/>
    </sheetView>
  </sheetViews>
  <sheetFormatPr baseColWidth="10" defaultRowHeight="12.75" x14ac:dyDescent="0.2"/>
  <cols>
    <col min="1" max="1" width="24.85546875" style="189" customWidth="1"/>
    <col min="2" max="2" width="13.42578125" style="189" bestFit="1" customWidth="1"/>
    <col min="3" max="3" width="37.42578125" style="199" customWidth="1"/>
    <col min="4" max="4" width="5.85546875" style="199" customWidth="1"/>
    <col min="5" max="5" width="11.42578125" style="189"/>
    <col min="6" max="6" width="46" style="189" hidden="1" customWidth="1"/>
    <col min="7" max="8" width="45.5703125" style="225" hidden="1" customWidth="1"/>
    <col min="9" max="9" width="46" style="225" hidden="1" customWidth="1"/>
    <col min="10" max="10" width="31" style="225" hidden="1" customWidth="1"/>
    <col min="11" max="16384" width="11.42578125" style="189"/>
  </cols>
  <sheetData>
    <row r="1" spans="1:10" x14ac:dyDescent="0.2">
      <c r="A1" s="188" t="s">
        <v>469</v>
      </c>
      <c r="G1" s="225" t="s">
        <v>159</v>
      </c>
      <c r="H1" s="225">
        <v>1</v>
      </c>
    </row>
    <row r="2" spans="1:10" x14ac:dyDescent="0.2">
      <c r="A2" s="189" t="s">
        <v>268</v>
      </c>
      <c r="B2" s="223" t="str">
        <f>INDEX(OrtsdatenSammlung!B1:F1,$H$1)</f>
        <v>Region Buchs</v>
      </c>
      <c r="G2" s="226" t="s">
        <v>475</v>
      </c>
      <c r="H2" s="225">
        <f>IF(H1=5,1,0)</f>
        <v>0</v>
      </c>
    </row>
    <row r="3" spans="1:10" x14ac:dyDescent="0.2">
      <c r="G3" s="227" t="s">
        <v>479</v>
      </c>
      <c r="H3" s="227" t="s">
        <v>476</v>
      </c>
      <c r="I3" s="227" t="s">
        <v>477</v>
      </c>
      <c r="J3" s="225" t="s">
        <v>493</v>
      </c>
    </row>
    <row r="4" spans="1:10" x14ac:dyDescent="0.2">
      <c r="A4" s="189" t="s">
        <v>59</v>
      </c>
      <c r="B4" s="223">
        <f>INDEX(OrtsdatenSammlung!B3:F3,$H$1)</f>
        <v>3581</v>
      </c>
      <c r="C4" s="199" t="s">
        <v>112</v>
      </c>
      <c r="F4" s="199" t="s">
        <v>506</v>
      </c>
      <c r="G4" s="221" t="str">
        <f>INDEX(H4:I4,$H$2+1)</f>
        <v>Fr. / t</v>
      </c>
      <c r="H4" s="221" t="s">
        <v>185</v>
      </c>
      <c r="I4" s="221" t="s">
        <v>480</v>
      </c>
      <c r="J4" s="225" t="s">
        <v>494</v>
      </c>
    </row>
    <row r="5" spans="1:10" x14ac:dyDescent="0.2">
      <c r="A5" s="189" t="s">
        <v>60</v>
      </c>
      <c r="B5" s="223">
        <f>INDEX(OrtsdatenSammlung!B4:F4,$H$1)</f>
        <v>221</v>
      </c>
      <c r="C5" s="199" t="s">
        <v>96</v>
      </c>
      <c r="F5" s="199" t="s">
        <v>471</v>
      </c>
      <c r="G5" s="221" t="str">
        <f>INDEX(H5:I5,$H$2+1)</f>
        <v>Fr. / 100 l</v>
      </c>
      <c r="H5" s="221" t="s">
        <v>184</v>
      </c>
      <c r="I5" s="221" t="s">
        <v>481</v>
      </c>
      <c r="J5" s="225" t="s">
        <v>494</v>
      </c>
    </row>
    <row r="6" spans="1:10" x14ac:dyDescent="0.2">
      <c r="A6" s="189" t="s">
        <v>61</v>
      </c>
      <c r="B6" s="223">
        <f>INDEX(OrtsdatenSammlung!B5:F5,$H$1)</f>
        <v>1868</v>
      </c>
      <c r="C6" s="199" t="s">
        <v>502</v>
      </c>
      <c r="F6" s="234"/>
      <c r="G6" s="221" t="str">
        <f>INDEX(H6:I6,$H$2+1)</f>
        <v>Fr. / m3 Gas</v>
      </c>
      <c r="H6" s="221" t="s">
        <v>204</v>
      </c>
      <c r="I6" s="221" t="s">
        <v>482</v>
      </c>
      <c r="J6" s="225" t="s">
        <v>494</v>
      </c>
    </row>
    <row r="7" spans="1:10" x14ac:dyDescent="0.2">
      <c r="A7" s="189" t="s">
        <v>62</v>
      </c>
      <c r="B7" s="223">
        <f>INDEX(OrtsdatenSammlung!B6:F6,$H$1)</f>
        <v>1006</v>
      </c>
      <c r="C7" s="199" t="s">
        <v>503</v>
      </c>
      <c r="F7" s="234"/>
      <c r="G7" s="221" t="str">
        <f>INDEX(H7:I7,$H$2+1)</f>
        <v>Fr. / kWh</v>
      </c>
      <c r="H7" s="221" t="s">
        <v>186</v>
      </c>
      <c r="I7" s="221" t="s">
        <v>478</v>
      </c>
      <c r="J7" s="225" t="s">
        <v>494</v>
      </c>
    </row>
    <row r="8" spans="1:10" x14ac:dyDescent="0.2">
      <c r="A8" s="189" t="s">
        <v>63</v>
      </c>
      <c r="B8" s="223">
        <f>INDEX(OrtsdatenSammlung!B7:F7,$H$1)</f>
        <v>1068</v>
      </c>
      <c r="C8" s="199" t="s">
        <v>504</v>
      </c>
      <c r="F8" s="234"/>
      <c r="G8" s="221" t="str">
        <f t="shared" ref="G8:G15" si="0">INDEX(H8:I8,$H$2+1)</f>
        <v>Kosten pro Jahr [Fr. / a]</v>
      </c>
      <c r="H8" s="221" t="s">
        <v>483</v>
      </c>
      <c r="I8" s="221" t="s">
        <v>487</v>
      </c>
      <c r="J8" s="225" t="s">
        <v>484</v>
      </c>
    </row>
    <row r="9" spans="1:10" x14ac:dyDescent="0.2">
      <c r="A9" s="189" t="s">
        <v>64</v>
      </c>
      <c r="B9" s="223">
        <f>INDEX(OrtsdatenSammlung!B8:F8,$H$1)</f>
        <v>497</v>
      </c>
      <c r="C9" s="199" t="s">
        <v>505</v>
      </c>
      <c r="F9" s="234"/>
      <c r="G9" s="221" t="str">
        <f t="shared" si="0"/>
        <v>Auswirkung auf die jährlichen Wärmekosten [Fr. / a]</v>
      </c>
      <c r="H9" s="221" t="s">
        <v>485</v>
      </c>
      <c r="I9" s="221" t="s">
        <v>488</v>
      </c>
      <c r="J9" s="225" t="s">
        <v>484</v>
      </c>
    </row>
    <row r="10" spans="1:10" x14ac:dyDescent="0.2">
      <c r="A10" s="189" t="s">
        <v>65</v>
      </c>
      <c r="B10" s="223">
        <f>INDEX(OrtsdatenSammlung!B9:F9,$H$1)</f>
        <v>-9</v>
      </c>
      <c r="C10" s="199" t="s">
        <v>97</v>
      </c>
      <c r="G10" s="221" t="str">
        <f t="shared" si="0"/>
        <v>jährliche Wärmekosten [Fr. / a]</v>
      </c>
      <c r="H10" s="221" t="s">
        <v>486</v>
      </c>
      <c r="I10" s="221" t="s">
        <v>489</v>
      </c>
      <c r="J10" s="225" t="s">
        <v>490</v>
      </c>
    </row>
    <row r="11" spans="1:10" x14ac:dyDescent="0.2">
      <c r="A11" s="189" t="s">
        <v>106</v>
      </c>
      <c r="B11" s="223">
        <f>INDEX(OrtsdatenSammlung!B10:F10,$H$1)</f>
        <v>1109.75</v>
      </c>
      <c r="C11" s="199" t="s">
        <v>107</v>
      </c>
      <c r="G11" s="221" t="str">
        <f t="shared" si="0"/>
        <v>Fr. / a</v>
      </c>
      <c r="H11" s="221" t="s">
        <v>491</v>
      </c>
      <c r="I11" s="221" t="s">
        <v>492</v>
      </c>
      <c r="J11" s="225" t="s">
        <v>495</v>
      </c>
    </row>
    <row r="12" spans="1:10" x14ac:dyDescent="0.2">
      <c r="A12" s="189" t="s">
        <v>122</v>
      </c>
      <c r="B12" s="223">
        <f>INDEX(OrtsdatenSammlung!B11:F11,$H$1)</f>
        <v>980</v>
      </c>
      <c r="C12" s="199" t="s">
        <v>470</v>
      </c>
      <c r="F12" s="199" t="s">
        <v>471</v>
      </c>
      <c r="G12" s="221" t="str">
        <f t="shared" si="0"/>
        <v>Fr.</v>
      </c>
      <c r="H12" s="221" t="s">
        <v>181</v>
      </c>
      <c r="I12" s="221" t="s">
        <v>474</v>
      </c>
      <c r="J12" s="225" t="s">
        <v>495</v>
      </c>
    </row>
    <row r="13" spans="1:10" x14ac:dyDescent="0.2">
      <c r="A13" s="189" t="s">
        <v>163</v>
      </c>
      <c r="B13" s="223">
        <f>INDEX(OrtsdatenSammlung!B12:F12,$H$1)</f>
        <v>715</v>
      </c>
      <c r="C13" s="199" t="str">
        <f t="shared" ref="C13:C40" si="1">$G$7</f>
        <v>Fr. / kWh</v>
      </c>
      <c r="G13" s="221" t="str">
        <f t="shared" si="0"/>
        <v>Fr. / m</v>
      </c>
      <c r="H13" s="221" t="s">
        <v>496</v>
      </c>
      <c r="I13" s="221" t="s">
        <v>499</v>
      </c>
    </row>
    <row r="14" spans="1:10" x14ac:dyDescent="0.2">
      <c r="A14" s="189" t="s">
        <v>164</v>
      </c>
      <c r="B14" s="223">
        <f>INDEX(OrtsdatenSammlung!B13:F13,$H$1)</f>
        <v>0</v>
      </c>
      <c r="C14" s="199" t="str">
        <f t="shared" si="1"/>
        <v>Fr. / kWh</v>
      </c>
      <c r="G14" s="221" t="str">
        <f t="shared" si="0"/>
        <v>Fr. / m2</v>
      </c>
      <c r="H14" s="221" t="s">
        <v>497</v>
      </c>
      <c r="I14" s="221" t="s">
        <v>500</v>
      </c>
    </row>
    <row r="15" spans="1:10" x14ac:dyDescent="0.2">
      <c r="A15" s="189" t="s">
        <v>165</v>
      </c>
      <c r="B15" s="223">
        <f>INDEX(OrtsdatenSammlung!B14:F14,$H$1)</f>
        <v>2000</v>
      </c>
      <c r="C15" s="199" t="str">
        <f t="shared" si="1"/>
        <v>Fr. / kWh</v>
      </c>
      <c r="G15" s="221" t="str">
        <f t="shared" si="0"/>
        <v>Fr. / kWpeak</v>
      </c>
      <c r="H15" s="221" t="s">
        <v>498</v>
      </c>
      <c r="I15" s="221" t="s">
        <v>501</v>
      </c>
    </row>
    <row r="16" spans="1:10" x14ac:dyDescent="0.2">
      <c r="A16" s="189" t="s">
        <v>242</v>
      </c>
      <c r="B16" s="223">
        <f>INDEX(OrtsdatenSammlung!B15:F15,$H$1)</f>
        <v>0.06</v>
      </c>
      <c r="C16" s="199" t="str">
        <f t="shared" si="1"/>
        <v>Fr. / kWh</v>
      </c>
    </row>
    <row r="17" spans="1:5" x14ac:dyDescent="0.2">
      <c r="A17" s="189" t="s">
        <v>243</v>
      </c>
      <c r="B17" s="224">
        <f>INDEX(OrtsdatenSammlung!B16:F16,$H$1)</f>
        <v>0.06</v>
      </c>
      <c r="C17" s="199" t="str">
        <f t="shared" si="1"/>
        <v>Fr. / kWh</v>
      </c>
    </row>
    <row r="18" spans="1:5" x14ac:dyDescent="0.2">
      <c r="A18" s="189" t="s">
        <v>241</v>
      </c>
      <c r="B18" s="224">
        <f>INDEX(OrtsdatenSammlung!B17:F17,$H$1)</f>
        <v>0.06</v>
      </c>
      <c r="C18" s="199" t="str">
        <f t="shared" si="1"/>
        <v>Fr. / kWh</v>
      </c>
    </row>
    <row r="19" spans="1:5" x14ac:dyDescent="0.2">
      <c r="A19" s="189" t="s">
        <v>244</v>
      </c>
      <c r="B19" s="224">
        <f>INDEX(OrtsdatenSammlung!B18:F18,$H$1)</f>
        <v>0.06</v>
      </c>
      <c r="C19" s="199" t="str">
        <f t="shared" si="1"/>
        <v>Fr. / kWh</v>
      </c>
    </row>
    <row r="20" spans="1:5" x14ac:dyDescent="0.2">
      <c r="A20" s="189" t="s">
        <v>245</v>
      </c>
      <c r="B20" s="224">
        <f>INDEX(OrtsdatenSammlung!B19:F19,$H$1)</f>
        <v>0.06</v>
      </c>
      <c r="C20" s="199" t="str">
        <f t="shared" si="1"/>
        <v>Fr. / kWh</v>
      </c>
    </row>
    <row r="21" spans="1:5" x14ac:dyDescent="0.2">
      <c r="A21" s="189" t="s">
        <v>246</v>
      </c>
      <c r="B21" s="224">
        <f>INDEX(OrtsdatenSammlung!B20:F20,$H$1)</f>
        <v>0.06</v>
      </c>
      <c r="C21" s="199" t="str">
        <f t="shared" si="1"/>
        <v>Fr. / kWh</v>
      </c>
    </row>
    <row r="22" spans="1:5" x14ac:dyDescent="0.2">
      <c r="A22" s="189" t="s">
        <v>247</v>
      </c>
      <c r="B22" s="224">
        <f>INDEX(OrtsdatenSammlung!B21:F21,$H$1)</f>
        <v>0.06</v>
      </c>
      <c r="C22" s="199" t="str">
        <f t="shared" si="1"/>
        <v>Fr. / kWh</v>
      </c>
    </row>
    <row r="23" spans="1:5" x14ac:dyDescent="0.2">
      <c r="A23" s="189" t="s">
        <v>248</v>
      </c>
      <c r="B23" s="224">
        <f>INDEX(OrtsdatenSammlung!B22:F22,$H$1)</f>
        <v>0.06</v>
      </c>
      <c r="C23" s="199" t="str">
        <f t="shared" si="1"/>
        <v>Fr. / kWh</v>
      </c>
    </row>
    <row r="24" spans="1:5" x14ac:dyDescent="0.2">
      <c r="A24" s="189" t="s">
        <v>249</v>
      </c>
      <c r="B24" s="224">
        <f>INDEX(OrtsdatenSammlung!B23:F23,$H$1)</f>
        <v>0.06</v>
      </c>
      <c r="C24" s="199" t="str">
        <f t="shared" si="1"/>
        <v>Fr. / kWh</v>
      </c>
    </row>
    <row r="25" spans="1:5" x14ac:dyDescent="0.2">
      <c r="A25" s="189" t="s">
        <v>250</v>
      </c>
      <c r="B25" s="224">
        <f>INDEX(OrtsdatenSammlung!B24:F24,$H$1)</f>
        <v>0.06</v>
      </c>
      <c r="C25" s="199" t="str">
        <f t="shared" si="1"/>
        <v>Fr. / kWh</v>
      </c>
    </row>
    <row r="26" spans="1:5" x14ac:dyDescent="0.2">
      <c r="A26" s="189" t="s">
        <v>251</v>
      </c>
      <c r="B26" s="224">
        <f>INDEX(OrtsdatenSammlung!B25:F25,$H$1)</f>
        <v>0.06</v>
      </c>
      <c r="C26" s="199" t="str">
        <f t="shared" si="1"/>
        <v>Fr. / kWh</v>
      </c>
    </row>
    <row r="27" spans="1:5" x14ac:dyDescent="0.2">
      <c r="A27" s="189" t="s">
        <v>252</v>
      </c>
      <c r="B27" s="224">
        <f>INDEX(OrtsdatenSammlung!B26:F26,$H$1)</f>
        <v>0.06</v>
      </c>
      <c r="C27" s="199" t="str">
        <f t="shared" si="1"/>
        <v>Fr. / kWh</v>
      </c>
      <c r="E27" s="187"/>
    </row>
    <row r="28" spans="1:5" x14ac:dyDescent="0.2">
      <c r="A28" s="189" t="s">
        <v>253</v>
      </c>
      <c r="B28" s="224">
        <f>INDEX(OrtsdatenSammlung!B27:F27,$H$1)</f>
        <v>0.06</v>
      </c>
      <c r="C28" s="199" t="str">
        <f t="shared" si="1"/>
        <v>Fr. / kWh</v>
      </c>
    </row>
    <row r="29" spans="1:5" x14ac:dyDescent="0.2">
      <c r="A29" s="189" t="s">
        <v>254</v>
      </c>
      <c r="B29" s="224">
        <f>INDEX(OrtsdatenSammlung!B28:F28,$H$1)</f>
        <v>0.06</v>
      </c>
      <c r="C29" s="199" t="str">
        <f t="shared" si="1"/>
        <v>Fr. / kWh</v>
      </c>
    </row>
    <row r="30" spans="1:5" x14ac:dyDescent="0.2">
      <c r="A30" s="189" t="s">
        <v>255</v>
      </c>
      <c r="B30" s="224">
        <f>INDEX(OrtsdatenSammlung!B29:F29,$H$1)</f>
        <v>0.06</v>
      </c>
      <c r="C30" s="199" t="str">
        <f t="shared" si="1"/>
        <v>Fr. / kWh</v>
      </c>
    </row>
    <row r="31" spans="1:5" x14ac:dyDescent="0.2">
      <c r="A31" s="189" t="s">
        <v>256</v>
      </c>
      <c r="B31" s="224">
        <f>INDEX(OrtsdatenSammlung!B30:F30,$H$1)</f>
        <v>0.06</v>
      </c>
      <c r="C31" s="199" t="str">
        <f t="shared" si="1"/>
        <v>Fr. / kWh</v>
      </c>
    </row>
    <row r="32" spans="1:5" x14ac:dyDescent="0.2">
      <c r="A32" s="189" t="s">
        <v>257</v>
      </c>
      <c r="B32" s="224">
        <f>INDEX(OrtsdatenSammlung!B31:F31,$H$1)</f>
        <v>0.06</v>
      </c>
      <c r="C32" s="199" t="str">
        <f t="shared" si="1"/>
        <v>Fr. / kWh</v>
      </c>
    </row>
    <row r="33" spans="1:3" x14ac:dyDescent="0.2">
      <c r="A33" s="189" t="s">
        <v>258</v>
      </c>
      <c r="B33" s="224">
        <f>INDEX(OrtsdatenSammlung!B32:F32,$H$1)</f>
        <v>0.06</v>
      </c>
      <c r="C33" s="199" t="str">
        <f t="shared" si="1"/>
        <v>Fr. / kWh</v>
      </c>
    </row>
    <row r="34" spans="1:3" x14ac:dyDescent="0.2">
      <c r="A34" s="189" t="s">
        <v>259</v>
      </c>
      <c r="B34" s="224">
        <f>INDEX(OrtsdatenSammlung!B33:F33,$H$1)</f>
        <v>0.06</v>
      </c>
      <c r="C34" s="199" t="str">
        <f t="shared" si="1"/>
        <v>Fr. / kWh</v>
      </c>
    </row>
    <row r="35" spans="1:3" x14ac:dyDescent="0.2">
      <c r="A35" s="189" t="s">
        <v>260</v>
      </c>
      <c r="B35" s="224">
        <f>INDEX(OrtsdatenSammlung!B34:F34,$H$1)</f>
        <v>0.06</v>
      </c>
      <c r="C35" s="199" t="str">
        <f t="shared" si="1"/>
        <v>Fr. / kWh</v>
      </c>
    </row>
    <row r="36" spans="1:3" x14ac:dyDescent="0.2">
      <c r="A36" s="189" t="s">
        <v>345</v>
      </c>
      <c r="B36" s="224">
        <f>INDEX(OrtsdatenSammlung!B35:F35,$H$1)</f>
        <v>0.06</v>
      </c>
      <c r="C36" s="199" t="str">
        <f t="shared" si="1"/>
        <v>Fr. / kWh</v>
      </c>
    </row>
    <row r="37" spans="1:3" x14ac:dyDescent="0.2">
      <c r="A37" s="189" t="s">
        <v>346</v>
      </c>
      <c r="B37" s="224">
        <f>INDEX(OrtsdatenSammlung!B36:F36,$H$1)</f>
        <v>0.06</v>
      </c>
      <c r="C37" s="199" t="str">
        <f t="shared" si="1"/>
        <v>Fr. / kWh</v>
      </c>
    </row>
    <row r="38" spans="1:3" x14ac:dyDescent="0.2">
      <c r="A38" s="189" t="s">
        <v>347</v>
      </c>
      <c r="B38" s="224">
        <f>INDEX(OrtsdatenSammlung!B37:F37,$H$1)</f>
        <v>0.06</v>
      </c>
      <c r="C38" s="199" t="str">
        <f t="shared" si="1"/>
        <v>Fr. / kWh</v>
      </c>
    </row>
    <row r="39" spans="1:3" x14ac:dyDescent="0.2">
      <c r="A39" s="189" t="s">
        <v>348</v>
      </c>
      <c r="B39" s="224">
        <f>INDEX(OrtsdatenSammlung!B38:F38,$H$1)</f>
        <v>0.06</v>
      </c>
      <c r="C39" s="199" t="str">
        <f t="shared" si="1"/>
        <v>Fr. / kWh</v>
      </c>
    </row>
    <row r="40" spans="1:3" x14ac:dyDescent="0.2">
      <c r="A40" s="189" t="s">
        <v>349</v>
      </c>
      <c r="B40" s="224">
        <f>INDEX(OrtsdatenSammlung!B39:F39,$H$1)</f>
        <v>0.06</v>
      </c>
      <c r="C40" s="199" t="str">
        <f t="shared" si="1"/>
        <v>Fr. / kWh</v>
      </c>
    </row>
  </sheetData>
  <customSheetViews>
    <customSheetView guid="{BFD0A862-FF9D-4229-ADD0-2A37AEA5AF1F}" state="hidden">
      <selection activeCell="B32" sqref="B32"/>
      <pageMargins left="0.7" right="0.7" top="0.78740157499999996" bottom="0.78740157499999996" header="0.3" footer="0.3"/>
      <pageSetup paperSize="9" scale="80" orientation="portrait" r:id="rId1"/>
      <headerFooter>
        <oddFooter>&amp;LMichael Eschmann, Markus Markstaler&amp;RInstitut für Energiesysteme</oddFooter>
      </headerFooter>
    </customSheetView>
    <customSheetView guid="{11DD1BF8-C577-48F3-8516-9D608BF5BCA7}" hiddenColumns="1">
      <selection activeCell="B27" sqref="B27"/>
      <pageMargins left="0.7" right="0.7" top="0.78740157499999996" bottom="0.78740157499999996" header="0.3" footer="0.3"/>
      <pageSetup paperSize="9" scale="80" orientation="portrait" r:id="rId2"/>
      <headerFooter>
        <oddFooter>&amp;LMichael Eschmann, Markus Markstaler&amp;RInstitut für Energiesysteme</oddFooter>
      </headerFooter>
    </customSheetView>
  </customSheetViews>
  <phoneticPr fontId="21" type="noConversion"/>
  <pageMargins left="0.7" right="0.7" top="0.78740157499999996" bottom="0.78740157499999996" header="0.3" footer="0.3"/>
  <pageSetup paperSize="9" scale="80" orientation="portrait" r:id="rId3"/>
  <headerFooter>
    <oddFooter>&amp;LMichael Eschmann, Markus Markstaler&amp;RInstitut für Energiesysteme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indexed="12"/>
  </sheetPr>
  <dimension ref="A1:K48"/>
  <sheetViews>
    <sheetView zoomScale="90" zoomScaleNormal="90" workbookViewId="0">
      <selection activeCell="E46" sqref="E46"/>
    </sheetView>
  </sheetViews>
  <sheetFormatPr baseColWidth="10" defaultRowHeight="12.75" x14ac:dyDescent="0.2"/>
  <cols>
    <col min="1" max="1" width="47.85546875" style="2" customWidth="1"/>
    <col min="2" max="6" width="16.85546875" style="2" customWidth="1"/>
    <col min="7" max="11" width="6.28515625" style="2" customWidth="1"/>
    <col min="12" max="16384" width="11.42578125" style="2"/>
  </cols>
  <sheetData>
    <row r="1" spans="1:11" x14ac:dyDescent="0.2">
      <c r="A1" s="4" t="s">
        <v>162</v>
      </c>
      <c r="B1" s="4" t="s">
        <v>306</v>
      </c>
      <c r="C1" s="4" t="s">
        <v>307</v>
      </c>
      <c r="D1" s="4" t="s">
        <v>308</v>
      </c>
      <c r="E1" s="4" t="s">
        <v>309</v>
      </c>
      <c r="F1" s="4" t="s">
        <v>473</v>
      </c>
    </row>
    <row r="2" spans="1:11" x14ac:dyDescent="0.2">
      <c r="A2" s="3" t="s">
        <v>472</v>
      </c>
      <c r="B2" s="4" t="s">
        <v>52</v>
      </c>
      <c r="C2" s="4" t="s">
        <v>52</v>
      </c>
      <c r="D2" s="4" t="s">
        <v>52</v>
      </c>
      <c r="E2" s="4" t="s">
        <v>52</v>
      </c>
      <c r="F2" s="4" t="s">
        <v>474</v>
      </c>
    </row>
    <row r="3" spans="1:11" x14ac:dyDescent="0.2">
      <c r="A3" s="3" t="s">
        <v>319</v>
      </c>
      <c r="B3" s="1">
        <v>3581</v>
      </c>
      <c r="C3" s="1">
        <v>3527</v>
      </c>
      <c r="D3" s="1">
        <v>4046</v>
      </c>
      <c r="E3" s="17">
        <v>3635</v>
      </c>
      <c r="F3" s="17">
        <v>3500</v>
      </c>
      <c r="G3" s="19"/>
      <c r="H3" s="19"/>
      <c r="I3" s="19"/>
      <c r="J3" s="19"/>
      <c r="K3" s="19"/>
    </row>
    <row r="4" spans="1:11" x14ac:dyDescent="0.2">
      <c r="A4" s="3" t="s">
        <v>318</v>
      </c>
      <c r="B4" s="1">
        <v>221</v>
      </c>
      <c r="C4" s="1">
        <v>218</v>
      </c>
      <c r="D4" s="1">
        <v>246</v>
      </c>
      <c r="E4" s="1">
        <v>224</v>
      </c>
      <c r="F4" s="1">
        <v>210</v>
      </c>
      <c r="G4" s="19"/>
      <c r="H4" s="19"/>
      <c r="I4" s="19"/>
      <c r="J4" s="19"/>
      <c r="K4" s="19"/>
    </row>
    <row r="5" spans="1:11" x14ac:dyDescent="0.2">
      <c r="A5" s="3" t="s">
        <v>108</v>
      </c>
      <c r="B5" s="1">
        <v>1868</v>
      </c>
      <c r="C5" s="1">
        <v>1904</v>
      </c>
      <c r="D5" s="1">
        <v>1854</v>
      </c>
      <c r="E5" s="1">
        <f>-(C5-B5)+B5</f>
        <v>1832</v>
      </c>
      <c r="F5" s="1">
        <v>1900</v>
      </c>
      <c r="G5" s="19"/>
      <c r="H5" s="19"/>
      <c r="I5" s="19"/>
      <c r="J5" s="19"/>
      <c r="K5" s="19"/>
    </row>
    <row r="6" spans="1:11" x14ac:dyDescent="0.2">
      <c r="A6" s="3" t="s">
        <v>109</v>
      </c>
      <c r="B6" s="1">
        <v>1006</v>
      </c>
      <c r="C6" s="1">
        <v>1015</v>
      </c>
      <c r="D6" s="1">
        <v>1088</v>
      </c>
      <c r="E6" s="1">
        <f>-(C6-B6)+B6</f>
        <v>997</v>
      </c>
      <c r="F6" s="1">
        <v>1000</v>
      </c>
      <c r="G6" s="19"/>
      <c r="H6" s="19"/>
      <c r="I6" s="19"/>
      <c r="J6" s="19"/>
      <c r="K6" s="19"/>
    </row>
    <row r="7" spans="1:11" x14ac:dyDescent="0.2">
      <c r="A7" s="3" t="s">
        <v>110</v>
      </c>
      <c r="B7" s="1">
        <v>1068</v>
      </c>
      <c r="C7" s="1">
        <v>1082</v>
      </c>
      <c r="D7" s="1">
        <v>1141</v>
      </c>
      <c r="E7" s="1">
        <f>-(C7-B7)+B7</f>
        <v>1054</v>
      </c>
      <c r="F7" s="1">
        <v>1000</v>
      </c>
      <c r="G7" s="19"/>
      <c r="H7" s="19"/>
      <c r="I7" s="19"/>
      <c r="J7" s="19"/>
      <c r="K7" s="19"/>
    </row>
    <row r="8" spans="1:11" x14ac:dyDescent="0.2">
      <c r="A8" s="3" t="s">
        <v>111</v>
      </c>
      <c r="B8" s="1">
        <v>497</v>
      </c>
      <c r="C8" s="1">
        <v>502</v>
      </c>
      <c r="D8" s="1">
        <v>533</v>
      </c>
      <c r="E8" s="1">
        <f>-(C8-B8)+B8</f>
        <v>492</v>
      </c>
      <c r="F8" s="1">
        <v>500</v>
      </c>
      <c r="G8" s="19"/>
      <c r="H8" s="19"/>
      <c r="I8" s="19"/>
      <c r="J8" s="19"/>
      <c r="K8" s="19"/>
    </row>
    <row r="9" spans="1:11" x14ac:dyDescent="0.2">
      <c r="A9" s="3" t="s">
        <v>97</v>
      </c>
      <c r="B9" s="1">
        <v>-9</v>
      </c>
      <c r="C9" s="1">
        <v>-8</v>
      </c>
      <c r="D9" s="1">
        <v>-10</v>
      </c>
      <c r="E9" s="1">
        <v>-9</v>
      </c>
      <c r="F9" s="1">
        <v>-9</v>
      </c>
      <c r="G9" s="19"/>
      <c r="H9" s="19"/>
      <c r="I9" s="19"/>
      <c r="J9" s="19"/>
      <c r="K9" s="19"/>
    </row>
    <row r="10" spans="1:11" x14ac:dyDescent="0.2">
      <c r="A10" s="3" t="s">
        <v>107</v>
      </c>
      <c r="B10" s="17">
        <f>AVERAGE(B5:B8)</f>
        <v>1109.75</v>
      </c>
      <c r="C10" s="17">
        <f>AVERAGE(C5:C8)</f>
        <v>1125.75</v>
      </c>
      <c r="D10" s="17">
        <f>AVERAGE(D5:D8)</f>
        <v>1154</v>
      </c>
      <c r="E10" s="17">
        <f>AVERAGE(E5:E8)</f>
        <v>1093.75</v>
      </c>
      <c r="F10" s="17">
        <f>AVERAGE(F5:F8)</f>
        <v>1100</v>
      </c>
      <c r="G10" s="19"/>
      <c r="H10" s="19"/>
      <c r="I10" s="19"/>
      <c r="J10" s="19"/>
      <c r="K10" s="19"/>
    </row>
    <row r="11" spans="1:11" x14ac:dyDescent="0.2">
      <c r="A11" s="3" t="s">
        <v>122</v>
      </c>
      <c r="B11" s="1">
        <v>980</v>
      </c>
      <c r="C11" s="1">
        <v>1000</v>
      </c>
      <c r="D11" s="1">
        <v>990</v>
      </c>
      <c r="E11" s="1">
        <v>950</v>
      </c>
      <c r="F11" s="1">
        <v>1000</v>
      </c>
      <c r="G11" s="19"/>
      <c r="H11" s="19"/>
      <c r="I11" s="19"/>
      <c r="J11" s="19"/>
      <c r="K11" s="19"/>
    </row>
    <row r="12" spans="1:11" x14ac:dyDescent="0.2">
      <c r="A12" s="3" t="s">
        <v>163</v>
      </c>
      <c r="B12" s="1">
        <v>715</v>
      </c>
      <c r="C12" s="1">
        <v>715</v>
      </c>
      <c r="D12" s="1">
        <v>715</v>
      </c>
      <c r="E12" s="1">
        <v>400</v>
      </c>
      <c r="F12" s="1">
        <v>275</v>
      </c>
    </row>
    <row r="13" spans="1:11" x14ac:dyDescent="0.2">
      <c r="A13" s="3" t="s">
        <v>164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11" x14ac:dyDescent="0.2">
      <c r="A14" s="3" t="s">
        <v>165</v>
      </c>
      <c r="B14" s="1">
        <v>2000</v>
      </c>
      <c r="C14" s="1">
        <v>2000</v>
      </c>
      <c r="D14" s="1">
        <v>2000</v>
      </c>
      <c r="E14" s="1">
        <v>0</v>
      </c>
      <c r="F14" s="1">
        <v>0</v>
      </c>
    </row>
    <row r="15" spans="1:11" x14ac:dyDescent="0.2">
      <c r="A15" s="3" t="s">
        <v>242</v>
      </c>
      <c r="B15" s="18">
        <v>0.06</v>
      </c>
      <c r="C15" s="18">
        <v>0.06</v>
      </c>
      <c r="D15" s="18">
        <v>0.06</v>
      </c>
      <c r="E15" s="18">
        <v>0.1</v>
      </c>
      <c r="F15" s="18">
        <v>7.0000000000000007E-2</v>
      </c>
    </row>
    <row r="16" spans="1:11" x14ac:dyDescent="0.2">
      <c r="A16" s="3" t="s">
        <v>243</v>
      </c>
      <c r="B16" s="18">
        <v>0.06</v>
      </c>
      <c r="C16" s="18">
        <v>0.06</v>
      </c>
      <c r="D16" s="18">
        <v>0.06</v>
      </c>
      <c r="E16" s="18">
        <v>0.1</v>
      </c>
      <c r="F16" s="18">
        <v>7.0000000000000007E-2</v>
      </c>
    </row>
    <row r="17" spans="1:6" x14ac:dyDescent="0.2">
      <c r="A17" s="3" t="s">
        <v>241</v>
      </c>
      <c r="B17" s="18">
        <v>0.06</v>
      </c>
      <c r="C17" s="18">
        <v>0.06</v>
      </c>
      <c r="D17" s="18">
        <v>0.06</v>
      </c>
      <c r="E17" s="18">
        <v>0.1</v>
      </c>
      <c r="F17" s="18">
        <v>7.0000000000000007E-2</v>
      </c>
    </row>
    <row r="18" spans="1:6" x14ac:dyDescent="0.2">
      <c r="A18" s="3" t="s">
        <v>244</v>
      </c>
      <c r="B18" s="18">
        <v>0.06</v>
      </c>
      <c r="C18" s="18">
        <v>0.06</v>
      </c>
      <c r="D18" s="18">
        <v>0.06</v>
      </c>
      <c r="E18" s="18">
        <v>0.1</v>
      </c>
      <c r="F18" s="18">
        <v>7.0000000000000007E-2</v>
      </c>
    </row>
    <row r="19" spans="1:6" x14ac:dyDescent="0.2">
      <c r="A19" s="3" t="s">
        <v>245</v>
      </c>
      <c r="B19" s="18">
        <v>0.06</v>
      </c>
      <c r="C19" s="18">
        <v>0.06</v>
      </c>
      <c r="D19" s="18">
        <v>0.06</v>
      </c>
      <c r="E19" s="18">
        <v>0.1</v>
      </c>
      <c r="F19" s="18">
        <v>7.0000000000000007E-2</v>
      </c>
    </row>
    <row r="20" spans="1:6" x14ac:dyDescent="0.2">
      <c r="A20" s="3" t="s">
        <v>246</v>
      </c>
      <c r="B20" s="18">
        <v>0.06</v>
      </c>
      <c r="C20" s="18">
        <v>0.06</v>
      </c>
      <c r="D20" s="18">
        <v>0.06</v>
      </c>
      <c r="E20" s="18">
        <v>0.1</v>
      </c>
      <c r="F20" s="18">
        <v>7.0000000000000007E-2</v>
      </c>
    </row>
    <row r="21" spans="1:6" x14ac:dyDescent="0.2">
      <c r="A21" s="3" t="s">
        <v>247</v>
      </c>
      <c r="B21" s="18">
        <v>0.06</v>
      </c>
      <c r="C21" s="18">
        <v>0.06</v>
      </c>
      <c r="D21" s="18">
        <v>0.06</v>
      </c>
      <c r="E21" s="18">
        <v>0.1</v>
      </c>
      <c r="F21" s="18">
        <v>7.0000000000000007E-2</v>
      </c>
    </row>
    <row r="22" spans="1:6" x14ac:dyDescent="0.2">
      <c r="A22" s="3" t="s">
        <v>248</v>
      </c>
      <c r="B22" s="18">
        <v>0.06</v>
      </c>
      <c r="C22" s="18">
        <v>0.06</v>
      </c>
      <c r="D22" s="18">
        <v>0.06</v>
      </c>
      <c r="E22" s="18">
        <v>0.1</v>
      </c>
      <c r="F22" s="18">
        <v>7.0000000000000007E-2</v>
      </c>
    </row>
    <row r="23" spans="1:6" x14ac:dyDescent="0.2">
      <c r="A23" s="3" t="s">
        <v>249</v>
      </c>
      <c r="B23" s="18">
        <v>0.06</v>
      </c>
      <c r="C23" s="18">
        <v>0.06</v>
      </c>
      <c r="D23" s="18">
        <v>0.06</v>
      </c>
      <c r="E23" s="18">
        <v>0.1</v>
      </c>
      <c r="F23" s="18">
        <v>7.0000000000000007E-2</v>
      </c>
    </row>
    <row r="24" spans="1:6" x14ac:dyDescent="0.2">
      <c r="A24" s="3" t="s">
        <v>250</v>
      </c>
      <c r="B24" s="18">
        <v>0.06</v>
      </c>
      <c r="C24" s="18">
        <v>0.06</v>
      </c>
      <c r="D24" s="18">
        <v>0.06</v>
      </c>
      <c r="E24" s="18">
        <v>0.1</v>
      </c>
      <c r="F24" s="18">
        <v>7.0000000000000007E-2</v>
      </c>
    </row>
    <row r="25" spans="1:6" x14ac:dyDescent="0.2">
      <c r="A25" s="3" t="s">
        <v>251</v>
      </c>
      <c r="B25" s="18">
        <v>0.06</v>
      </c>
      <c r="C25" s="18">
        <v>0.06</v>
      </c>
      <c r="D25" s="18">
        <v>0.06</v>
      </c>
      <c r="E25" s="18">
        <v>0.1</v>
      </c>
      <c r="F25" s="18">
        <v>7.0000000000000007E-2</v>
      </c>
    </row>
    <row r="26" spans="1:6" x14ac:dyDescent="0.2">
      <c r="A26" s="3" t="s">
        <v>252</v>
      </c>
      <c r="B26" s="18">
        <v>0.06</v>
      </c>
      <c r="C26" s="18">
        <v>0.06</v>
      </c>
      <c r="D26" s="18">
        <v>0.06</v>
      </c>
      <c r="E26" s="18">
        <v>0.1</v>
      </c>
      <c r="F26" s="18">
        <v>7.0000000000000007E-2</v>
      </c>
    </row>
    <row r="27" spans="1:6" x14ac:dyDescent="0.2">
      <c r="A27" s="3" t="s">
        <v>253</v>
      </c>
      <c r="B27" s="18">
        <v>0.06</v>
      </c>
      <c r="C27" s="18">
        <v>0.06</v>
      </c>
      <c r="D27" s="18">
        <v>0.06</v>
      </c>
      <c r="E27" s="18">
        <v>0.1</v>
      </c>
      <c r="F27" s="18">
        <v>7.0000000000000007E-2</v>
      </c>
    </row>
    <row r="28" spans="1:6" x14ac:dyDescent="0.2">
      <c r="A28" s="3" t="s">
        <v>254</v>
      </c>
      <c r="B28" s="18">
        <v>0.06</v>
      </c>
      <c r="C28" s="18">
        <v>0.06</v>
      </c>
      <c r="D28" s="18">
        <v>0.06</v>
      </c>
      <c r="E28" s="18">
        <v>0.1</v>
      </c>
      <c r="F28" s="18">
        <v>7.0000000000000007E-2</v>
      </c>
    </row>
    <row r="29" spans="1:6" x14ac:dyDescent="0.2">
      <c r="A29" s="3" t="s">
        <v>255</v>
      </c>
      <c r="B29" s="18">
        <v>0.06</v>
      </c>
      <c r="C29" s="18">
        <v>0.06</v>
      </c>
      <c r="D29" s="18">
        <v>0.06</v>
      </c>
      <c r="E29" s="18">
        <v>0.1</v>
      </c>
      <c r="F29" s="18">
        <v>7.0000000000000007E-2</v>
      </c>
    </row>
    <row r="30" spans="1:6" x14ac:dyDescent="0.2">
      <c r="A30" s="3" t="s">
        <v>256</v>
      </c>
      <c r="B30" s="18">
        <v>0.06</v>
      </c>
      <c r="C30" s="18">
        <v>0.06</v>
      </c>
      <c r="D30" s="18">
        <v>0.06</v>
      </c>
      <c r="E30" s="18">
        <v>0.1</v>
      </c>
      <c r="F30" s="18">
        <v>7.0000000000000007E-2</v>
      </c>
    </row>
    <row r="31" spans="1:6" x14ac:dyDescent="0.2">
      <c r="A31" s="3" t="s">
        <v>257</v>
      </c>
      <c r="B31" s="18">
        <v>0.06</v>
      </c>
      <c r="C31" s="18">
        <v>0.06</v>
      </c>
      <c r="D31" s="18">
        <v>0.06</v>
      </c>
      <c r="E31" s="18">
        <v>0.1</v>
      </c>
      <c r="F31" s="18">
        <v>7.0000000000000007E-2</v>
      </c>
    </row>
    <row r="32" spans="1:6" x14ac:dyDescent="0.2">
      <c r="A32" s="3" t="s">
        <v>258</v>
      </c>
      <c r="B32" s="18">
        <v>0.06</v>
      </c>
      <c r="C32" s="18">
        <v>0.06</v>
      </c>
      <c r="D32" s="18">
        <v>0.06</v>
      </c>
      <c r="E32" s="18">
        <v>0.1</v>
      </c>
      <c r="F32" s="18">
        <v>7.0000000000000007E-2</v>
      </c>
    </row>
    <row r="33" spans="1:6" x14ac:dyDescent="0.2">
      <c r="A33" s="3" t="s">
        <v>259</v>
      </c>
      <c r="B33" s="18">
        <v>0.06</v>
      </c>
      <c r="C33" s="18">
        <v>0.06</v>
      </c>
      <c r="D33" s="18">
        <v>0.06</v>
      </c>
      <c r="E33" s="18">
        <v>0.1</v>
      </c>
      <c r="F33" s="18">
        <v>7.0000000000000007E-2</v>
      </c>
    </row>
    <row r="34" spans="1:6" x14ac:dyDescent="0.2">
      <c r="A34" s="3" t="s">
        <v>260</v>
      </c>
      <c r="B34" s="18">
        <v>0.06</v>
      </c>
      <c r="C34" s="18">
        <v>0.06</v>
      </c>
      <c r="D34" s="18">
        <v>0.06</v>
      </c>
      <c r="E34" s="18">
        <v>0.1</v>
      </c>
      <c r="F34" s="18">
        <v>7.0000000000000007E-2</v>
      </c>
    </row>
    <row r="35" spans="1:6" x14ac:dyDescent="0.2">
      <c r="A35" s="3" t="s">
        <v>345</v>
      </c>
      <c r="B35" s="18">
        <v>0.06</v>
      </c>
      <c r="C35" s="18">
        <v>0.06</v>
      </c>
      <c r="D35" s="18">
        <v>0.06</v>
      </c>
      <c r="E35" s="18">
        <v>0.1</v>
      </c>
      <c r="F35" s="18">
        <v>7.0000000000000007E-2</v>
      </c>
    </row>
    <row r="36" spans="1:6" x14ac:dyDescent="0.2">
      <c r="A36" s="3" t="s">
        <v>346</v>
      </c>
      <c r="B36" s="18">
        <v>0.06</v>
      </c>
      <c r="C36" s="18">
        <v>0.06</v>
      </c>
      <c r="D36" s="18">
        <v>0.06</v>
      </c>
      <c r="E36" s="18">
        <v>0.1</v>
      </c>
      <c r="F36" s="18">
        <v>7.0000000000000007E-2</v>
      </c>
    </row>
    <row r="37" spans="1:6" x14ac:dyDescent="0.2">
      <c r="A37" s="3" t="s">
        <v>347</v>
      </c>
      <c r="B37" s="18">
        <v>0.06</v>
      </c>
      <c r="C37" s="18">
        <v>0.06</v>
      </c>
      <c r="D37" s="18">
        <v>0.06</v>
      </c>
      <c r="E37" s="18">
        <v>0.1</v>
      </c>
      <c r="F37" s="18">
        <v>7.0000000000000007E-2</v>
      </c>
    </row>
    <row r="38" spans="1:6" x14ac:dyDescent="0.2">
      <c r="A38" s="3" t="s">
        <v>348</v>
      </c>
      <c r="B38" s="18">
        <v>0.06</v>
      </c>
      <c r="C38" s="18">
        <v>0.06</v>
      </c>
      <c r="D38" s="18">
        <v>0.06</v>
      </c>
      <c r="E38" s="18">
        <v>0.1</v>
      </c>
      <c r="F38" s="18">
        <v>7.0000000000000007E-2</v>
      </c>
    </row>
    <row r="39" spans="1:6" x14ac:dyDescent="0.2">
      <c r="A39" s="3" t="s">
        <v>349</v>
      </c>
      <c r="B39" s="18">
        <v>0.06</v>
      </c>
      <c r="C39" s="18">
        <v>0.06</v>
      </c>
      <c r="D39" s="18">
        <v>0.06</v>
      </c>
      <c r="E39" s="18">
        <v>0.1</v>
      </c>
      <c r="F39" s="18">
        <v>7.0000000000000007E-2</v>
      </c>
    </row>
    <row r="43" spans="1:6" x14ac:dyDescent="0.2">
      <c r="A43" s="3" t="s">
        <v>313</v>
      </c>
    </row>
    <row r="44" spans="1:6" x14ac:dyDescent="0.2">
      <c r="A44" s="2" t="str">
        <f>B1</f>
        <v>Region Buchs</v>
      </c>
    </row>
    <row r="45" spans="1:6" x14ac:dyDescent="0.2">
      <c r="A45" s="2" t="s">
        <v>307</v>
      </c>
    </row>
    <row r="46" spans="1:6" x14ac:dyDescent="0.2">
      <c r="A46" s="2" t="s">
        <v>308</v>
      </c>
    </row>
    <row r="47" spans="1:6" x14ac:dyDescent="0.2">
      <c r="A47" s="2" t="s">
        <v>309</v>
      </c>
    </row>
    <row r="48" spans="1:6" x14ac:dyDescent="0.2">
      <c r="A48" s="3" t="s">
        <v>473</v>
      </c>
    </row>
  </sheetData>
  <customSheetViews>
    <customSheetView guid="{BFD0A862-FF9D-4229-ADD0-2A37AEA5AF1F}" scale="90" state="hidden">
      <selection activeCell="B32" sqref="B32"/>
      <pageMargins left="0.7" right="0.7" top="0.75" bottom="0.75" header="0.3" footer="0.3"/>
      <pageSetup paperSize="9" scale="80" orientation="portrait" r:id="rId1"/>
      <headerFooter>
        <oddFooter>&amp;LMichael Eschmann, Markus Markstaler&amp;RInstitut für Energiesysteme</oddFooter>
      </headerFooter>
    </customSheetView>
    <customSheetView guid="{11DD1BF8-C577-48F3-8516-9D608BF5BCA7}" scale="90">
      <selection activeCell="E46" sqref="E46"/>
      <pageMargins left="0.7" right="0.7" top="0.75" bottom="0.75" header="0.3" footer="0.3"/>
      <pageSetup paperSize="9" scale="80" orientation="portrait" r:id="rId2"/>
      <headerFooter>
        <oddFooter>&amp;LMichael Eschmann, Markus Markstaler&amp;RInstitut für Energiesysteme</oddFooter>
      </headerFooter>
    </customSheetView>
  </customSheetViews>
  <phoneticPr fontId="21" type="noConversion"/>
  <pageMargins left="0.7" right="0.7" top="0.75" bottom="0.75" header="0.3" footer="0.3"/>
  <pageSetup paperSize="9" scale="80" orientation="portrait" r:id="rId3"/>
  <headerFooter>
    <oddFooter>&amp;LMichael Eschmann, Markus Markstaler&amp;RInstitut für Energiesysteme</oddFooter>
  </headerFooter>
  <ignoredErrors>
    <ignoredError sqref="B10:D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indexed="12"/>
  </sheetPr>
  <dimension ref="A1:I61"/>
  <sheetViews>
    <sheetView workbookViewId="0">
      <selection activeCell="B26" sqref="B26"/>
    </sheetView>
  </sheetViews>
  <sheetFormatPr baseColWidth="10" defaultRowHeight="12.75" x14ac:dyDescent="0.2"/>
  <cols>
    <col min="1" max="1" width="26.7109375" style="1" bestFit="1" customWidth="1"/>
    <col min="2" max="5" width="11.42578125" style="1"/>
    <col min="6" max="6" width="8.7109375" style="1" customWidth="1"/>
    <col min="7" max="16384" width="11.42578125" style="1"/>
  </cols>
  <sheetData>
    <row r="1" spans="1:7" ht="14.25" x14ac:dyDescent="0.2">
      <c r="A1" s="120" t="s">
        <v>68</v>
      </c>
    </row>
    <row r="2" spans="1:7" x14ac:dyDescent="0.2">
      <c r="A2" s="121"/>
    </row>
    <row r="3" spans="1:7" x14ac:dyDescent="0.2">
      <c r="A3" s="122" t="s">
        <v>193</v>
      </c>
    </row>
    <row r="4" spans="1:7" x14ac:dyDescent="0.2">
      <c r="A4" s="121" t="s">
        <v>212</v>
      </c>
      <c r="B4" s="1">
        <f>Übersicht!E5</f>
        <v>30.2</v>
      </c>
      <c r="C4" s="1">
        <f>Übersicht!G5</f>
        <v>59.4</v>
      </c>
      <c r="D4" s="1">
        <f>Übersicht!I5</f>
        <v>53.8</v>
      </c>
      <c r="E4" s="1">
        <f>Übersicht!K5</f>
        <v>56.4</v>
      </c>
    </row>
    <row r="5" spans="1:7" x14ac:dyDescent="0.2">
      <c r="A5" s="121" t="s">
        <v>215</v>
      </c>
      <c r="B5" s="1">
        <f>Übersicht!E6</f>
        <v>35</v>
      </c>
      <c r="C5" s="1">
        <f>Übersicht!G6</f>
        <v>35</v>
      </c>
      <c r="D5" s="1">
        <f>Übersicht!I6</f>
        <v>35</v>
      </c>
      <c r="E5" s="1">
        <f>Übersicht!K6</f>
        <v>35</v>
      </c>
    </row>
    <row r="7" spans="1:7" x14ac:dyDescent="0.2">
      <c r="A7" s="122" t="s">
        <v>194</v>
      </c>
    </row>
    <row r="8" spans="1:7" x14ac:dyDescent="0.2">
      <c r="A8" s="121" t="s">
        <v>212</v>
      </c>
      <c r="B8" s="1">
        <f>Übersicht!E5*Parameter!$B28</f>
        <v>4.2280000000000006</v>
      </c>
      <c r="C8" s="1">
        <f>Übersicht!G5*Parameter!$B28</f>
        <v>8.3160000000000007</v>
      </c>
      <c r="D8" s="1">
        <f>Übersicht!I5*Parameter!$B28</f>
        <v>7.532</v>
      </c>
      <c r="E8" s="1">
        <f>Übersicht!K5*Parameter!$B28</f>
        <v>7.8960000000000008</v>
      </c>
    </row>
    <row r="9" spans="1:7" x14ac:dyDescent="0.2">
      <c r="A9" s="121" t="s">
        <v>215</v>
      </c>
      <c r="B9" s="1">
        <f>Übersicht!E6</f>
        <v>35</v>
      </c>
      <c r="C9" s="1">
        <f>Übersicht!G6</f>
        <v>35</v>
      </c>
      <c r="D9" s="1">
        <f>Übersicht!I6</f>
        <v>35</v>
      </c>
      <c r="E9" s="1">
        <f>Übersicht!K6</f>
        <v>35</v>
      </c>
    </row>
    <row r="11" spans="1:7" x14ac:dyDescent="0.2">
      <c r="A11" s="122" t="s">
        <v>213</v>
      </c>
    </row>
    <row r="12" spans="1:7" x14ac:dyDescent="0.2">
      <c r="A12" s="121" t="s">
        <v>205</v>
      </c>
      <c r="B12" s="121">
        <v>1.6</v>
      </c>
      <c r="C12" s="1">
        <v>1.6</v>
      </c>
      <c r="D12" s="1">
        <v>1.6</v>
      </c>
      <c r="E12" s="1">
        <v>1.6</v>
      </c>
    </row>
    <row r="13" spans="1:7" x14ac:dyDescent="0.2">
      <c r="A13" s="121" t="s">
        <v>206</v>
      </c>
      <c r="B13" s="121">
        <v>1</v>
      </c>
      <c r="C13" s="1">
        <v>1</v>
      </c>
      <c r="D13" s="1">
        <v>1</v>
      </c>
      <c r="E13" s="1">
        <v>1</v>
      </c>
    </row>
    <row r="14" spans="1:7" x14ac:dyDescent="0.2">
      <c r="A14" s="121" t="s">
        <v>219</v>
      </c>
      <c r="B14" s="1">
        <v>35</v>
      </c>
      <c r="C14" s="1">
        <v>35</v>
      </c>
      <c r="D14" s="1">
        <v>35</v>
      </c>
      <c r="E14" s="1">
        <v>35</v>
      </c>
    </row>
    <row r="15" spans="1:7" x14ac:dyDescent="0.2">
      <c r="A15" s="121" t="s">
        <v>209</v>
      </c>
      <c r="B15" s="1">
        <f>90-47.13-23.45</f>
        <v>19.419999999999998</v>
      </c>
      <c r="C15" s="1">
        <f>90-47.13-23.45</f>
        <v>19.419999999999998</v>
      </c>
      <c r="D15" s="1">
        <f>90-47.13-23.45</f>
        <v>19.419999999999998</v>
      </c>
      <c r="E15" s="1">
        <f>90-47.13-23.45</f>
        <v>19.419999999999998</v>
      </c>
      <c r="G15" s="121" t="s">
        <v>210</v>
      </c>
    </row>
    <row r="16" spans="1:7" x14ac:dyDescent="0.2">
      <c r="A16" s="121" t="s">
        <v>208</v>
      </c>
      <c r="B16" s="18">
        <f>B12*(COS(RADIANS(B14))+SIN(RADIANS(B14))/TAN(RADIANS(B15)))</f>
        <v>3.9137563664607962</v>
      </c>
      <c r="C16" s="18">
        <f>C12*(COS(RADIANS(C14))+SIN(RADIANS(C14))/TAN(RADIANS(C15)))</f>
        <v>3.9137563664607962</v>
      </c>
      <c r="D16" s="18">
        <f>D12*(COS(RADIANS(D14))+SIN(RADIANS(D14))/TAN(RADIANS(D15)))</f>
        <v>3.9137563664607962</v>
      </c>
      <c r="E16" s="18">
        <f>E12*(COS(RADIANS(E14))+SIN(RADIANS(E14))/TAN(RADIANS(E15)))</f>
        <v>3.9137563664607962</v>
      </c>
      <c r="G16" s="121" t="s">
        <v>211</v>
      </c>
    </row>
    <row r="17" spans="1:9" x14ac:dyDescent="0.2">
      <c r="A17" s="121" t="s">
        <v>220</v>
      </c>
      <c r="B17" s="18">
        <f>ROUNDDOWN(Übersicht!E6/B16,0)+1</f>
        <v>9</v>
      </c>
      <c r="C17" s="18">
        <f>ROUNDDOWN(Übersicht!G6/C16,0)+1</f>
        <v>9</v>
      </c>
      <c r="D17" s="18">
        <f>ROUNDDOWN(Übersicht!I6/D16,0)+1</f>
        <v>9</v>
      </c>
      <c r="E17" s="18">
        <f>ROUNDDOWN(Übersicht!K6/E16,0)+1</f>
        <v>9</v>
      </c>
    </row>
    <row r="18" spans="1:9" x14ac:dyDescent="0.2">
      <c r="A18" s="121" t="s">
        <v>221</v>
      </c>
      <c r="B18" s="18">
        <f>ROUNDDOWN(Übersicht!E5/B13,0)</f>
        <v>30</v>
      </c>
      <c r="C18" s="18">
        <f>ROUNDDOWN(Übersicht!G5/C13,0)</f>
        <v>59</v>
      </c>
      <c r="D18" s="18">
        <f>ROUNDDOWN(Übersicht!I5/D13,0)</f>
        <v>53</v>
      </c>
      <c r="E18" s="18">
        <f>ROUNDDOWN(Übersicht!K5/E13,0)</f>
        <v>56</v>
      </c>
    </row>
    <row r="19" spans="1:9" x14ac:dyDescent="0.2">
      <c r="A19" s="121" t="s">
        <v>194</v>
      </c>
      <c r="B19" s="18">
        <f>B18*B17*B13*B12</f>
        <v>432</v>
      </c>
      <c r="C19" s="18">
        <f>C18*C17*C13*C12</f>
        <v>849.6</v>
      </c>
      <c r="D19" s="18">
        <f>D18*D17*D13*D12</f>
        <v>763.2</v>
      </c>
      <c r="E19" s="18">
        <f>E18*E17*E13*E12</f>
        <v>806.40000000000009</v>
      </c>
    </row>
    <row r="20" spans="1:9" x14ac:dyDescent="0.2">
      <c r="A20" s="121" t="s">
        <v>212</v>
      </c>
      <c r="B20" s="1">
        <f>B19*Parameter!$B28</f>
        <v>60.480000000000004</v>
      </c>
      <c r="C20" s="1">
        <f>C19*Parameter!$B28</f>
        <v>118.94400000000002</v>
      </c>
      <c r="D20" s="1">
        <f>D19*Parameter!$B28</f>
        <v>106.84800000000001</v>
      </c>
      <c r="E20" s="1">
        <f>E19*Parameter!$B28</f>
        <v>112.89600000000003</v>
      </c>
    </row>
    <row r="22" spans="1:9" x14ac:dyDescent="0.2">
      <c r="A22" s="122" t="s">
        <v>214</v>
      </c>
      <c r="I22" s="1">
        <f>12/5</f>
        <v>2.4</v>
      </c>
    </row>
    <row r="23" spans="1:9" x14ac:dyDescent="0.2">
      <c r="A23" s="121" t="s">
        <v>212</v>
      </c>
      <c r="B23" s="1">
        <f>Übersicht!E5*Parameter!$B28</f>
        <v>4.2280000000000006</v>
      </c>
      <c r="C23" s="1">
        <f>Übersicht!G5*Parameter!$B28</f>
        <v>8.3160000000000007</v>
      </c>
      <c r="D23" s="1">
        <f>Übersicht!I5*Parameter!$B28</f>
        <v>7.532</v>
      </c>
      <c r="E23" s="1">
        <f>Übersicht!K5*Parameter!$B28</f>
        <v>7.8960000000000008</v>
      </c>
    </row>
    <row r="24" spans="1:9" x14ac:dyDescent="0.2">
      <c r="A24" s="121" t="s">
        <v>215</v>
      </c>
      <c r="B24" s="1">
        <f>Übersicht!E6</f>
        <v>35</v>
      </c>
      <c r="C24" s="1">
        <f>Übersicht!G6</f>
        <v>35</v>
      </c>
      <c r="D24" s="1">
        <f>Übersicht!I6</f>
        <v>35</v>
      </c>
      <c r="E24" s="1">
        <f>Übersicht!K6</f>
        <v>35</v>
      </c>
    </row>
    <row r="26" spans="1:9" x14ac:dyDescent="0.2">
      <c r="B26" s="121" t="s">
        <v>171</v>
      </c>
      <c r="C26" s="121" t="s">
        <v>172</v>
      </c>
      <c r="D26" s="121" t="s">
        <v>173</v>
      </c>
      <c r="E26" s="121" t="s">
        <v>174</v>
      </c>
    </row>
    <row r="27" spans="1:9" x14ac:dyDescent="0.2">
      <c r="A27" s="122" t="s">
        <v>222</v>
      </c>
      <c r="B27" s="1">
        <f>Übersicht!P9</f>
        <v>2</v>
      </c>
      <c r="C27" s="1">
        <f>B27</f>
        <v>2</v>
      </c>
      <c r="D27" s="1">
        <f>C27</f>
        <v>2</v>
      </c>
      <c r="E27" s="1">
        <f>D27</f>
        <v>2</v>
      </c>
    </row>
    <row r="28" spans="1:9" x14ac:dyDescent="0.2">
      <c r="A28" s="121" t="s">
        <v>212</v>
      </c>
      <c r="B28" s="1">
        <f>IF(B27=1,B4,IF(B27=2,B8,IF(B27=3,B20,B23)))</f>
        <v>4.2280000000000006</v>
      </c>
      <c r="C28" s="1">
        <f>IF(C27=1,C4,IF(C27=2,C8,IF(C27=3,C20,C23)))</f>
        <v>8.3160000000000007</v>
      </c>
      <c r="D28" s="1">
        <f>IF(D27=1,D4,IF(D27=2,D8,IF(D27=3,D20,D23)))</f>
        <v>7.532</v>
      </c>
      <c r="E28" s="1">
        <f>IF(E27=1,E4,IF(E27=2,E8,IF(E27=3,E20,E23)))</f>
        <v>7.8960000000000008</v>
      </c>
    </row>
    <row r="29" spans="1:9" x14ac:dyDescent="0.2">
      <c r="A29" s="121" t="s">
        <v>215</v>
      </c>
      <c r="B29" s="1">
        <f>IF(B27=1,B5,IF(B27=2,B9,IF(B27=3,B14,B24)))</f>
        <v>35</v>
      </c>
      <c r="C29" s="1">
        <f>IF(C27=1,C5,IF(C27=2,C9,IF(C27=3,C14,C24)))</f>
        <v>35</v>
      </c>
      <c r="D29" s="1">
        <f>IF(D27=1,D5,IF(D27=2,D9,IF(D27=3,D14,D24)))</f>
        <v>35</v>
      </c>
      <c r="E29" s="1">
        <f>IF(E27=1,E5,IF(E27=2,E9,IF(E27=3,E14,E24)))</f>
        <v>35</v>
      </c>
    </row>
    <row r="31" spans="1:9" x14ac:dyDescent="0.2">
      <c r="A31" s="122" t="s">
        <v>207</v>
      </c>
    </row>
    <row r="32" spans="1:9" x14ac:dyDescent="0.2">
      <c r="A32" s="121" t="s">
        <v>207</v>
      </c>
      <c r="B32" s="123">
        <f>Ortsdaten!$B12*(0.7+0.3*COS(RADIANS(Übersicht!$B12))*COS(RADIANS(B29-35)*2))</f>
        <v>980</v>
      </c>
      <c r="C32" s="123">
        <f>Ortsdaten!$B12*(0.7+0.3*COS(RADIANS(Übersicht!$B12))*COS(RADIANS(C29-35)*2))</f>
        <v>980</v>
      </c>
      <c r="D32" s="123">
        <f>Ortsdaten!$B12*(0.7+0.3*COS(RADIANS(Übersicht!$B12))*COS(RADIANS(D29-35)*2))</f>
        <v>980</v>
      </c>
      <c r="E32" s="123">
        <f>Ortsdaten!$B12*(0.7+0.3*COS(RADIANS(Übersicht!$B12))*COS(RADIANS(E29-35)*2))</f>
        <v>980</v>
      </c>
      <c r="G32" s="121" t="s">
        <v>216</v>
      </c>
    </row>
    <row r="33" spans="1:7" ht="13.5" thickBot="1" x14ac:dyDescent="0.25">
      <c r="A33" s="121" t="s">
        <v>217</v>
      </c>
      <c r="B33" s="124">
        <f>B32*B28</f>
        <v>4143.4400000000005</v>
      </c>
      <c r="C33" s="124">
        <f>C32*C28</f>
        <v>8149.68</v>
      </c>
      <c r="D33" s="124">
        <f>D32*D28</f>
        <v>7381.36</v>
      </c>
      <c r="E33" s="124">
        <f>E32*E28</f>
        <v>7738.0800000000008</v>
      </c>
      <c r="G33" s="121" t="s">
        <v>264</v>
      </c>
    </row>
    <row r="34" spans="1:7" ht="13.5" thickTop="1" x14ac:dyDescent="0.2"/>
    <row r="36" spans="1:7" ht="14.25" x14ac:dyDescent="0.2">
      <c r="A36" s="120" t="s">
        <v>223</v>
      </c>
    </row>
    <row r="37" spans="1:7" x14ac:dyDescent="0.2">
      <c r="A37" s="121" t="s">
        <v>228</v>
      </c>
      <c r="B37" s="1">
        <f>IF(OR(Übersicht!E8&lt;4,Übersicht!E8&gt;30),-5,Übersicht!E8)</f>
        <v>-5</v>
      </c>
      <c r="C37" s="1">
        <f>IF(OR(Übersicht!G8&lt;4,Übersicht!G8&gt;30),-5,Übersicht!G8)</f>
        <v>15</v>
      </c>
      <c r="D37" s="1">
        <f>IF(OR(Übersicht!I8&lt;4,Übersicht!I8&gt;30),-5,Übersicht!I8)</f>
        <v>15</v>
      </c>
      <c r="E37" s="1">
        <f>IF(OR(Übersicht!K8&lt;4,Übersicht!K8&gt;30),-5,Übersicht!K8)</f>
        <v>15</v>
      </c>
      <c r="G37" s="121" t="s">
        <v>335</v>
      </c>
    </row>
    <row r="38" spans="1:7" x14ac:dyDescent="0.2">
      <c r="A38" s="121" t="s">
        <v>69</v>
      </c>
      <c r="B38" s="125">
        <f>0.024*B37+0.12</f>
        <v>0</v>
      </c>
      <c r="C38" s="125">
        <f>0.024*C37+0.12</f>
        <v>0.48</v>
      </c>
      <c r="D38" s="125">
        <f>0.024*D37+0.12</f>
        <v>0.48</v>
      </c>
      <c r="E38" s="125">
        <f>0.024*E37+0.12</f>
        <v>0.48</v>
      </c>
    </row>
    <row r="39" spans="1:7" x14ac:dyDescent="0.2">
      <c r="A39" s="121" t="s">
        <v>227</v>
      </c>
      <c r="B39" s="17">
        <f>Verbrauch!$B25/3.6*Übersicht!$B6</f>
        <v>11941.644527999999</v>
      </c>
      <c r="C39" s="17">
        <f>Verbrauch!$B25/3.6*Übersicht!$B6</f>
        <v>11941.644527999999</v>
      </c>
      <c r="D39" s="17">
        <f>Verbrauch!$B25/3.6*Übersicht!$B6</f>
        <v>11941.644527999999</v>
      </c>
      <c r="E39" s="17">
        <f>Verbrauch!$B25/3.6*Übersicht!$B6</f>
        <v>11941.644527999999</v>
      </c>
    </row>
    <row r="40" spans="1:7" x14ac:dyDescent="0.2">
      <c r="A40" s="121" t="s">
        <v>231</v>
      </c>
      <c r="B40" s="17">
        <f>B39*B38</f>
        <v>0</v>
      </c>
      <c r="C40" s="17">
        <f>C39*C38</f>
        <v>5731.9893734399993</v>
      </c>
      <c r="D40" s="17">
        <f>D39*D38</f>
        <v>5731.9893734399993</v>
      </c>
      <c r="E40" s="17">
        <f>E39*E38</f>
        <v>5731.9893734399993</v>
      </c>
      <c r="G40" s="121" t="s">
        <v>226</v>
      </c>
    </row>
    <row r="41" spans="1:7" x14ac:dyDescent="0.2">
      <c r="A41" s="121" t="s">
        <v>229</v>
      </c>
      <c r="B41" s="17">
        <v>600</v>
      </c>
      <c r="C41" s="17">
        <v>600</v>
      </c>
      <c r="D41" s="17">
        <v>600</v>
      </c>
      <c r="E41" s="17">
        <v>600</v>
      </c>
      <c r="G41" s="121" t="s">
        <v>233</v>
      </c>
    </row>
    <row r="42" spans="1:7" x14ac:dyDescent="0.2">
      <c r="A42" s="121" t="s">
        <v>230</v>
      </c>
      <c r="B42" s="17">
        <f>B41*Übersicht!E8</f>
        <v>0</v>
      </c>
      <c r="C42" s="17">
        <f>C41*Übersicht!G8</f>
        <v>9000</v>
      </c>
      <c r="D42" s="17">
        <f>D41*Übersicht!I8</f>
        <v>9000</v>
      </c>
      <c r="E42" s="17">
        <f>E41*Übersicht!K8</f>
        <v>9000</v>
      </c>
    </row>
    <row r="43" spans="1:7" x14ac:dyDescent="0.2">
      <c r="A43" s="121" t="s">
        <v>232</v>
      </c>
      <c r="B43" s="126">
        <f>IF(B40&gt;B42,B42,B40)</f>
        <v>0</v>
      </c>
      <c r="C43" s="126">
        <f>IF(C40&gt;C42,C42,C40)</f>
        <v>5731.9893734399993</v>
      </c>
      <c r="D43" s="126">
        <f>IF(D40&gt;D42,D42,D40)</f>
        <v>5731.9893734399993</v>
      </c>
      <c r="E43" s="126">
        <f>IF(E40&gt;E42,E42,E40)</f>
        <v>5731.9893734399993</v>
      </c>
      <c r="G43" s="1" t="s">
        <v>336</v>
      </c>
    </row>
    <row r="44" spans="1:7" x14ac:dyDescent="0.2">
      <c r="A44" s="121" t="s">
        <v>358</v>
      </c>
      <c r="B44" s="18">
        <f>(0.7+0.3*COS(RADIANS(Übersicht!$B12))*COS(RADIANS(Übersicht!E9-60)*2))</f>
        <v>1</v>
      </c>
      <c r="C44" s="18">
        <f>(0.7+0.3*COS(RADIANS(Übersicht!$B12))*COS(RADIANS(Übersicht!G9-60)*2))</f>
        <v>1</v>
      </c>
      <c r="D44" s="18">
        <f>(0.7+0.3*COS(RADIANS(Übersicht!$B12))*COS(RADIANS(Übersicht!I9-60)*2))</f>
        <v>1</v>
      </c>
      <c r="E44" s="18">
        <f>(0.7+0.3*COS(RADIANS(Übersicht!$B12))*COS(RADIANS(Übersicht!K9-60)*2))</f>
        <v>1</v>
      </c>
    </row>
    <row r="45" spans="1:7" ht="13.5" thickBot="1" x14ac:dyDescent="0.25">
      <c r="A45" s="121" t="s">
        <v>232</v>
      </c>
      <c r="B45" s="127">
        <f>B44*B43</f>
        <v>0</v>
      </c>
      <c r="C45" s="127">
        <f>C44*C43</f>
        <v>5731.9893734399993</v>
      </c>
      <c r="D45" s="127">
        <f>D44*D43</f>
        <v>5731.9893734399993</v>
      </c>
      <c r="E45" s="127">
        <f>E44*E43</f>
        <v>5731.9893734399993</v>
      </c>
      <c r="G45" s="121" t="s">
        <v>234</v>
      </c>
    </row>
    <row r="46" spans="1:7" ht="13.5" thickTop="1" x14ac:dyDescent="0.2"/>
    <row r="47" spans="1:7" x14ac:dyDescent="0.2">
      <c r="A47" s="1" t="s">
        <v>314</v>
      </c>
      <c r="B47" s="128">
        <f>B45/B37</f>
        <v>0</v>
      </c>
      <c r="C47" s="128">
        <f>C45/C37</f>
        <v>382.13262489599998</v>
      </c>
      <c r="D47" s="128">
        <f>D45/D37</f>
        <v>382.13262489599998</v>
      </c>
      <c r="E47" s="128">
        <f>E45/E37</f>
        <v>382.13262489599998</v>
      </c>
    </row>
    <row r="49" spans="2:5" x14ac:dyDescent="0.2">
      <c r="B49" s="1">
        <v>385</v>
      </c>
      <c r="C49" s="1">
        <v>315</v>
      </c>
      <c r="D49" s="1">
        <v>285</v>
      </c>
      <c r="E49" s="1">
        <v>268</v>
      </c>
    </row>
    <row r="56" spans="2:5" x14ac:dyDescent="0.2">
      <c r="B56" s="1" t="s">
        <v>353</v>
      </c>
      <c r="C56" s="1" t="s">
        <v>69</v>
      </c>
    </row>
    <row r="57" spans="2:5" x14ac:dyDescent="0.2">
      <c r="B57" s="1">
        <v>4</v>
      </c>
      <c r="C57" s="125">
        <f>0.024*B57+0.12</f>
        <v>0.216</v>
      </c>
    </row>
    <row r="58" spans="2:5" x14ac:dyDescent="0.2">
      <c r="B58" s="1">
        <v>10</v>
      </c>
      <c r="C58" s="125">
        <f>0.024*B58+0.12</f>
        <v>0.36</v>
      </c>
    </row>
    <row r="59" spans="2:5" x14ac:dyDescent="0.2">
      <c r="B59" s="1">
        <v>15</v>
      </c>
      <c r="C59" s="125">
        <f>0.024*B59+0.12</f>
        <v>0.48</v>
      </c>
    </row>
    <row r="60" spans="2:5" x14ac:dyDescent="0.2">
      <c r="B60" s="1">
        <v>18</v>
      </c>
      <c r="C60" s="125">
        <f>0.024*B60+0.12</f>
        <v>0.55200000000000005</v>
      </c>
    </row>
    <row r="61" spans="2:5" x14ac:dyDescent="0.2">
      <c r="B61" s="1">
        <v>30</v>
      </c>
      <c r="C61" s="125">
        <f>0.024*B61+0.12</f>
        <v>0.84</v>
      </c>
    </row>
  </sheetData>
  <customSheetViews>
    <customSheetView guid="{BFD0A862-FF9D-4229-ADD0-2A37AEA5AF1F}" state="hidden" topLeftCell="A7">
      <selection activeCell="B32" sqref="B32"/>
      <pageMargins left="0.7" right="0.7" top="0.78740157499999996" bottom="0.78740157499999996" header="0.3" footer="0.3"/>
    </customSheetView>
    <customSheetView guid="{11DD1BF8-C577-48F3-8516-9D608BF5BCA7}" state="hidden">
      <selection activeCell="B26" sqref="B26"/>
      <pageMargins left="0.7" right="0.7" top="0.78740157499999996" bottom="0.78740157499999996" header="0.3" footer="0.3"/>
    </customSheetView>
  </customSheetViews>
  <phoneticPr fontId="2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Übersicht</vt:lpstr>
      <vt:lpstr>Ergebnisse</vt:lpstr>
      <vt:lpstr>Gebäude</vt:lpstr>
      <vt:lpstr>Kosten</vt:lpstr>
      <vt:lpstr>Förderungen</vt:lpstr>
      <vt:lpstr>Parameter</vt:lpstr>
      <vt:lpstr>Ortsdaten</vt:lpstr>
      <vt:lpstr>OrtsdatenSammlung</vt:lpstr>
      <vt:lpstr>SolarGewinn</vt:lpstr>
      <vt:lpstr>Verbrauch</vt:lpstr>
      <vt:lpstr>Gewinne</vt:lpstr>
      <vt:lpstr>EKZ_Berechnung</vt:lpstr>
      <vt:lpstr>Referenzdaten</vt:lpstr>
      <vt:lpstr>Berechnungen</vt:lpstr>
      <vt:lpstr>Ergebnisse!Druckbereich</vt:lpstr>
      <vt:lpstr>Förderungen!Druckbereich</vt:lpstr>
      <vt:lpstr>Gebäude!Druckbereich</vt:lpstr>
      <vt:lpstr>Kosten!Druckbereich</vt:lpstr>
      <vt:lpstr>Parameter!Druckbereich</vt:lpstr>
      <vt:lpstr>Übersicht!Druckbereich</vt:lpstr>
    </vt:vector>
  </TitlesOfParts>
  <Company>eschmann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Energierechner</dc:subject>
  <dc:creator>Mik Eschmann, Markus Markstaler</dc:creator>
  <cp:lastModifiedBy>.</cp:lastModifiedBy>
  <cp:lastPrinted>2010-01-25T10:14:20Z</cp:lastPrinted>
  <dcterms:created xsi:type="dcterms:W3CDTF">2009-06-09T09:29:47Z</dcterms:created>
  <dcterms:modified xsi:type="dcterms:W3CDTF">2015-08-07T09:42:29Z</dcterms:modified>
  <cp:contentStatus/>
</cp:coreProperties>
</file>